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655" yWindow="-75" windowWidth="15750" windowHeight="11385"/>
  </bookViews>
  <sheets>
    <sheet name="12-22-24 - 3-4-25 (3 quarter)" sheetId="57" r:id="rId1"/>
    <sheet name="10-6-24 - 12-17-24 (2 quarter)" sheetId="56" state="hidden" r:id="rId2"/>
    <sheet name="7-16-24 - 10-3-24 (1 quarter)" sheetId="55" state="hidden" r:id="rId3"/>
    <sheet name="2-18-24 - 5-12-24 (2 quarter)" sheetId="54" state="hidden" r:id="rId4"/>
    <sheet name="11-19-23 - 2-11-24 (1 quarter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1">'10-6-24 - 12-17-24 (2 quarter)'!$A$1:$O$97</definedName>
    <definedName name="_xlnm.Print_Area" localSheetId="4">'11-19-23 - 2-11-24 (1 quarter)'!$A$1:$O$48</definedName>
    <definedName name="_xlnm.Print_Area" localSheetId="6">'12-21-22 - 1-18-23 (1 month)'!$A$1:$L$81</definedName>
    <definedName name="_xlnm.Print_Area" localSheetId="0">'12-22-24 - 3-4-25 (3 quarter)'!$A$1:$O$85</definedName>
    <definedName name="_xlnm.Print_Area" localSheetId="9">'12-27-21 - 2-7-22 (1 month)'!$A$1:$H$34</definedName>
    <definedName name="_xlnm.Print_Area" localSheetId="3">'2-18-24 - 5-12-24 (2 quarter)'!$A$1:$P$55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7">'5-27-22 - 6-24-22 (3 month)'!$A$1:$H$45</definedName>
    <definedName name="_xlnm.Print_Area" localSheetId="2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4" i="57" l="1"/>
  <c r="C74" i="57"/>
  <c r="M69" i="57"/>
  <c r="C69" i="57"/>
  <c r="M17" i="57"/>
  <c r="M31" i="57"/>
  <c r="M57" i="57"/>
  <c r="M29" i="57"/>
  <c r="M13" i="57"/>
  <c r="M10" i="57"/>
  <c r="M11" i="57"/>
  <c r="M26" i="57"/>
  <c r="M18" i="57"/>
  <c r="M8" i="57"/>
  <c r="M15" i="57"/>
  <c r="M9" i="57"/>
  <c r="L17" i="57"/>
  <c r="L36" i="57"/>
  <c r="L9" i="57"/>
  <c r="L68" i="57"/>
  <c r="C68" i="57"/>
  <c r="L18" i="57"/>
  <c r="L26" i="57"/>
  <c r="L33" i="57"/>
  <c r="L21" i="57"/>
  <c r="L24" i="57"/>
  <c r="L16" i="57"/>
  <c r="L25" i="57"/>
  <c r="L10" i="57"/>
  <c r="L22" i="57"/>
  <c r="L8" i="57"/>
  <c r="L35" i="57"/>
  <c r="L19" i="57"/>
  <c r="L15" i="57"/>
  <c r="L23" i="57"/>
  <c r="L20" i="57"/>
  <c r="L11" i="57"/>
  <c r="L13" i="57"/>
  <c r="L48" i="57"/>
  <c r="L31" i="57"/>
  <c r="L29" i="57"/>
  <c r="L44" i="57"/>
  <c r="L49" i="57"/>
  <c r="L14" i="57"/>
  <c r="L47" i="57"/>
  <c r="L57" i="57"/>
  <c r="C57" i="57"/>
  <c r="L34" i="57"/>
  <c r="L12" i="57"/>
  <c r="L37" i="57"/>
  <c r="K23" i="57"/>
  <c r="K8" i="57"/>
  <c r="K16" i="57"/>
  <c r="K29" i="57"/>
  <c r="K18" i="57"/>
  <c r="K40" i="57"/>
  <c r="K10" i="57"/>
  <c r="K19" i="57"/>
  <c r="K12" i="57"/>
  <c r="K9" i="57"/>
  <c r="K13" i="57"/>
  <c r="K24" i="57"/>
  <c r="K14" i="57"/>
  <c r="K80" i="57"/>
  <c r="C80" i="57"/>
  <c r="K38" i="57"/>
  <c r="K26" i="57"/>
  <c r="K15" i="57"/>
  <c r="K55" i="57"/>
  <c r="K22" i="57"/>
  <c r="K11" i="57"/>
  <c r="K37" i="57"/>
  <c r="K20" i="57"/>
  <c r="J36" i="57"/>
  <c r="J40" i="57"/>
  <c r="J8" i="57"/>
  <c r="J63" i="57"/>
  <c r="C63" i="57"/>
  <c r="J38" i="57"/>
  <c r="J9" i="57"/>
  <c r="J22" i="57"/>
  <c r="J18" i="57"/>
  <c r="J26" i="57"/>
  <c r="J12" i="57"/>
  <c r="J31" i="57"/>
  <c r="J27" i="57"/>
  <c r="J13" i="57"/>
  <c r="J15" i="57"/>
  <c r="J35" i="57"/>
  <c r="J19" i="57"/>
  <c r="J10" i="57"/>
  <c r="J11" i="57"/>
  <c r="J16" i="57"/>
  <c r="J17" i="57"/>
  <c r="J46" i="57"/>
  <c r="J28" i="57"/>
  <c r="J24" i="57"/>
  <c r="J14" i="57"/>
  <c r="J45" i="57"/>
  <c r="J37" i="57"/>
  <c r="I19" i="57"/>
  <c r="I25" i="57"/>
  <c r="I15" i="57"/>
  <c r="I26" i="57"/>
  <c r="I65" i="57"/>
  <c r="C65" i="57"/>
  <c r="I42" i="57"/>
  <c r="I18" i="57"/>
  <c r="I41" i="57"/>
  <c r="I9" i="57"/>
  <c r="I21" i="57"/>
  <c r="I8" i="57"/>
  <c r="I10" i="57"/>
  <c r="I12" i="57"/>
  <c r="I50" i="57"/>
  <c r="I62" i="57"/>
  <c r="I27" i="57"/>
  <c r="I17" i="57"/>
  <c r="I11" i="57"/>
  <c r="I13" i="57"/>
  <c r="I16" i="57"/>
  <c r="H59" i="57" l="1"/>
  <c r="H12" i="57"/>
  <c r="H38" i="57"/>
  <c r="H18" i="57"/>
  <c r="H23" i="57"/>
  <c r="H8" i="57"/>
  <c r="H10" i="57"/>
  <c r="H27" i="57"/>
  <c r="H26" i="57"/>
  <c r="H9" i="57"/>
  <c r="I46" i="57"/>
  <c r="I34" i="57"/>
  <c r="I29" i="57"/>
  <c r="I36" i="57"/>
  <c r="I14" i="57"/>
  <c r="I73" i="57"/>
  <c r="C73" i="57"/>
  <c r="I23" i="57"/>
  <c r="I37" i="57"/>
  <c r="C37" i="57"/>
  <c r="I30" i="57"/>
  <c r="H77" i="57" l="1"/>
  <c r="C77" i="57" s="1"/>
  <c r="H62" i="57"/>
  <c r="C62" i="57"/>
  <c r="H19" i="57"/>
  <c r="H35" i="57"/>
  <c r="H17" i="57"/>
  <c r="H15" i="57"/>
  <c r="H16" i="57"/>
  <c r="H13" i="57"/>
  <c r="H28" i="57"/>
  <c r="H11" i="57"/>
  <c r="H50" i="57"/>
  <c r="C50" i="57"/>
  <c r="H48" i="57"/>
  <c r="H44" i="57"/>
  <c r="H72" i="57"/>
  <c r="C72" i="57"/>
  <c r="H32" i="57"/>
  <c r="H14" i="57"/>
  <c r="H56" i="57"/>
  <c r="H24" i="57"/>
  <c r="H34" i="57"/>
  <c r="H25" i="57"/>
  <c r="H30" i="57"/>
  <c r="H29" i="57"/>
  <c r="H22" i="57"/>
  <c r="G22" i="57"/>
  <c r="G20" i="57" l="1"/>
  <c r="G23" i="57"/>
  <c r="G12" i="57"/>
  <c r="G47" i="57"/>
  <c r="G31" i="57"/>
  <c r="G21" i="57"/>
  <c r="G10" i="57"/>
  <c r="G8" i="57"/>
  <c r="G15" i="57"/>
  <c r="G14" i="57"/>
  <c r="G9" i="57"/>
  <c r="G24" i="57"/>
  <c r="G32" i="57"/>
  <c r="G13" i="57"/>
  <c r="G17" i="57"/>
  <c r="C24" i="57"/>
  <c r="G33" i="57"/>
  <c r="F8" i="57"/>
  <c r="F20" i="57"/>
  <c r="C47" i="57"/>
  <c r="C31" i="57"/>
  <c r="G58" i="57"/>
  <c r="C58" i="57"/>
  <c r="G16" i="57"/>
  <c r="E38" i="57" l="1"/>
  <c r="E76" i="57"/>
  <c r="C76" i="57"/>
  <c r="E40" i="57"/>
  <c r="C40" i="57"/>
  <c r="E59" i="57"/>
  <c r="E45" i="57"/>
  <c r="E14" i="57"/>
  <c r="E21" i="57"/>
  <c r="E18" i="57"/>
  <c r="E10" i="57"/>
  <c r="E23" i="57"/>
  <c r="E12" i="57"/>
  <c r="E9" i="57"/>
  <c r="E20" i="57"/>
  <c r="E8" i="57"/>
  <c r="E39" i="57"/>
  <c r="E28" i="57"/>
  <c r="E11" i="57"/>
  <c r="E19" i="57"/>
  <c r="E52" i="57"/>
  <c r="E17" i="57"/>
  <c r="E34" i="57"/>
  <c r="E27" i="57"/>
  <c r="E35" i="57"/>
  <c r="E16" i="57"/>
  <c r="E15" i="57"/>
  <c r="E25" i="57"/>
  <c r="E49" i="57"/>
  <c r="E41" i="57"/>
  <c r="E54" i="57"/>
  <c r="E51" i="57"/>
  <c r="E66" i="57"/>
  <c r="E64" i="57"/>
  <c r="E13" i="57"/>
  <c r="G56" i="57"/>
  <c r="C56" i="57"/>
  <c r="G41" i="57"/>
  <c r="G25" i="57"/>
  <c r="G44" i="57"/>
  <c r="C44" i="57" s="1"/>
  <c r="G11" i="57"/>
  <c r="G48" i="57"/>
  <c r="C48" i="57"/>
  <c r="G19" i="57"/>
  <c r="G75" i="57"/>
  <c r="C75" i="57"/>
  <c r="G71" i="57"/>
  <c r="C71" i="57" s="1"/>
  <c r="G70" i="57"/>
  <c r="C70" i="57" s="1"/>
  <c r="G67" i="57"/>
  <c r="C67" i="57"/>
  <c r="F38" i="57"/>
  <c r="F18" i="57"/>
  <c r="F45" i="57"/>
  <c r="F14" i="57"/>
  <c r="F79" i="57"/>
  <c r="C79" i="57" s="1"/>
  <c r="F78" i="57"/>
  <c r="C78" i="57"/>
  <c r="F26" i="57"/>
  <c r="C26" i="57" s="1"/>
  <c r="F36" i="57"/>
  <c r="C45" i="57"/>
  <c r="F19" i="57"/>
  <c r="F25" i="57"/>
  <c r="F23" i="57"/>
  <c r="F60" i="57"/>
  <c r="C60" i="57"/>
  <c r="F10" i="57"/>
  <c r="F21" i="57"/>
  <c r="F12" i="57"/>
  <c r="F9" i="57"/>
  <c r="F32" i="57"/>
  <c r="C32" i="57"/>
  <c r="F35" i="57"/>
  <c r="F27" i="57"/>
  <c r="C27" i="57"/>
  <c r="F13" i="57"/>
  <c r="F16" i="57"/>
  <c r="C36" i="57"/>
  <c r="F11" i="57"/>
  <c r="F43" i="57"/>
  <c r="F15" i="57"/>
  <c r="F17" i="57"/>
  <c r="C59" i="57" l="1"/>
  <c r="F39" i="57"/>
  <c r="F29" i="57"/>
  <c r="C16" i="57"/>
  <c r="F46" i="57"/>
  <c r="C46" i="57" s="1"/>
  <c r="F33" i="57"/>
  <c r="C33" i="57" s="1"/>
  <c r="F53" i="57"/>
  <c r="F22" i="57"/>
  <c r="C22" i="57" s="1"/>
  <c r="C38" i="57"/>
  <c r="F28" i="57"/>
  <c r="C18" i="57"/>
  <c r="F55" i="57"/>
  <c r="C55" i="57"/>
  <c r="D8" i="57" l="1"/>
  <c r="D61" i="57"/>
  <c r="C61" i="57" s="1"/>
  <c r="D13" i="57"/>
  <c r="C13" i="57" s="1"/>
  <c r="D12" i="57"/>
  <c r="C12" i="57" s="1"/>
  <c r="D9" i="57"/>
  <c r="D11" i="57"/>
  <c r="D42" i="57"/>
  <c r="C42" i="57" s="1"/>
  <c r="D25" i="57"/>
  <c r="D21" i="57"/>
  <c r="C21" i="57" s="1"/>
  <c r="D23" i="57"/>
  <c r="C23" i="57" s="1"/>
  <c r="D14" i="57"/>
  <c r="C14" i="57" s="1"/>
  <c r="D30" i="57"/>
  <c r="D19" i="57"/>
  <c r="C19" i="57" s="1"/>
  <c r="D39" i="57"/>
  <c r="D10" i="57"/>
  <c r="C64" i="57"/>
  <c r="C15" i="57"/>
  <c r="C49" i="57"/>
  <c r="C41" i="57"/>
  <c r="C54" i="57"/>
  <c r="C51" i="57"/>
  <c r="C66" i="57"/>
  <c r="C30" i="57"/>
  <c r="C81" i="57"/>
  <c r="C39" i="57"/>
  <c r="C52" i="57"/>
  <c r="C35" i="57"/>
  <c r="C53" i="57"/>
  <c r="C43" i="57"/>
  <c r="C29" i="57"/>
  <c r="C20" i="57"/>
  <c r="C17" i="57"/>
  <c r="C34" i="57"/>
  <c r="C11" i="57"/>
  <c r="C28" i="57"/>
  <c r="C10" i="57" l="1"/>
  <c r="C25" i="57"/>
  <c r="C9" i="57"/>
  <c r="C8" i="57"/>
  <c r="O46" i="56"/>
  <c r="O9" i="56"/>
  <c r="O8" i="56"/>
  <c r="O21" i="56"/>
  <c r="O16" i="56"/>
  <c r="O27" i="56"/>
  <c r="O50" i="56" l="1"/>
  <c r="O26" i="56"/>
  <c r="O12" i="56"/>
  <c r="O22" i="56"/>
  <c r="O29" i="56"/>
  <c r="N38" i="56" l="1"/>
  <c r="N43" i="56"/>
  <c r="N29" i="56"/>
  <c r="N22" i="56"/>
  <c r="N14" i="56"/>
  <c r="N10" i="56"/>
  <c r="C77" i="56"/>
  <c r="N15" i="56"/>
  <c r="N23" i="56"/>
  <c r="N17" i="56"/>
  <c r="C88" i="56"/>
  <c r="N46" i="56"/>
  <c r="N8" i="56"/>
  <c r="N19" i="56"/>
  <c r="N11" i="56"/>
  <c r="N31" i="56"/>
  <c r="N9" i="56"/>
  <c r="N30" i="56"/>
  <c r="N27" i="56"/>
  <c r="N12" i="56"/>
  <c r="N45" i="56"/>
  <c r="N32" i="56"/>
  <c r="C70" i="56"/>
  <c r="N33" i="56"/>
  <c r="M43" i="56" l="1"/>
  <c r="M28" i="56"/>
  <c r="M14" i="56"/>
  <c r="M40" i="56"/>
  <c r="M15" i="56"/>
  <c r="M23" i="56"/>
  <c r="M17" i="56"/>
  <c r="M20" i="56"/>
  <c r="M8" i="56"/>
  <c r="M34" i="56"/>
  <c r="M19" i="56"/>
  <c r="M24" i="56"/>
  <c r="M11" i="56"/>
  <c r="M36" i="56"/>
  <c r="M49" i="56"/>
  <c r="M9" i="56"/>
  <c r="M30" i="56"/>
  <c r="M27" i="56"/>
  <c r="M12" i="56"/>
  <c r="M33" i="56"/>
  <c r="M29" i="56"/>
  <c r="M35" i="56"/>
  <c r="M10" i="56"/>
  <c r="M16" i="56"/>
  <c r="M76" i="56"/>
  <c r="C76" i="56"/>
  <c r="M31" i="56"/>
  <c r="M32" i="56"/>
  <c r="M21" i="56"/>
  <c r="M37" i="56"/>
  <c r="L27" i="56"/>
  <c r="L51" i="56"/>
  <c r="C51" i="56" s="1"/>
  <c r="L31" i="56"/>
  <c r="C46" i="56"/>
  <c r="L25" i="56"/>
  <c r="L11" i="56"/>
  <c r="L14" i="56"/>
  <c r="L48" i="56"/>
  <c r="L9" i="56"/>
  <c r="L20" i="56"/>
  <c r="L38" i="56"/>
  <c r="L18" i="56"/>
  <c r="C60" i="56"/>
  <c r="L37" i="56"/>
  <c r="L13" i="56"/>
  <c r="L80" i="56"/>
  <c r="C80" i="56" s="1"/>
  <c r="L22" i="56"/>
  <c r="L41" i="56"/>
  <c r="L35" i="56"/>
  <c r="L28" i="56"/>
  <c r="L10" i="56"/>
  <c r="L62" i="56"/>
  <c r="C62" i="56" s="1"/>
  <c r="L15" i="56"/>
  <c r="L23" i="56"/>
  <c r="L67" i="56"/>
  <c r="C67" i="56" s="1"/>
  <c r="L8" i="56"/>
  <c r="L34" i="56"/>
  <c r="L16" i="56"/>
  <c r="L66" i="56"/>
  <c r="C66" i="56" s="1"/>
  <c r="L55" i="56"/>
  <c r="C55" i="56" s="1"/>
  <c r="L82" i="56"/>
  <c r="C82" i="56" s="1"/>
  <c r="L12" i="56"/>
  <c r="L32" i="56"/>
  <c r="L33" i="56"/>
  <c r="L84" i="56"/>
  <c r="C84" i="56" s="1"/>
  <c r="L26" i="56"/>
  <c r="K38" i="56"/>
  <c r="K29" i="56"/>
  <c r="K13" i="56"/>
  <c r="C78" i="56"/>
  <c r="K35" i="56"/>
  <c r="K10" i="56"/>
  <c r="K17" i="56"/>
  <c r="K20" i="56"/>
  <c r="K8" i="56"/>
  <c r="K34" i="56"/>
  <c r="K16" i="56"/>
  <c r="K24" i="56"/>
  <c r="K31" i="56"/>
  <c r="K9" i="56"/>
  <c r="K30" i="56"/>
  <c r="K27" i="56"/>
  <c r="K12" i="56"/>
  <c r="K33" i="56"/>
  <c r="K21" i="56"/>
  <c r="K25" i="56"/>
  <c r="K14" i="56" l="1"/>
  <c r="C27" i="56" l="1"/>
  <c r="J14" i="56"/>
  <c r="J13" i="56"/>
  <c r="J17" i="56"/>
  <c r="J8" i="56"/>
  <c r="J9" i="56"/>
  <c r="J10" i="56"/>
  <c r="J11" i="56"/>
  <c r="J31" i="56"/>
  <c r="J39" i="56"/>
  <c r="J37" i="56"/>
  <c r="J25" i="56"/>
  <c r="C85" i="56"/>
  <c r="J20" i="56"/>
  <c r="J33" i="56"/>
  <c r="J19" i="56"/>
  <c r="J29" i="56"/>
  <c r="J18" i="56"/>
  <c r="J15" i="56" l="1"/>
  <c r="C30" i="56"/>
  <c r="C31" i="56" l="1"/>
  <c r="C71" i="56"/>
  <c r="J35" i="56"/>
  <c r="J32" i="56"/>
  <c r="I48" i="56"/>
  <c r="C48" i="56" s="1"/>
  <c r="C37" i="56"/>
  <c r="I20" i="56"/>
  <c r="I24" i="56"/>
  <c r="I26" i="56"/>
  <c r="I9" i="56"/>
  <c r="I10" i="56"/>
  <c r="I17" i="56"/>
  <c r="I22" i="56"/>
  <c r="I25" i="56"/>
  <c r="I43" i="56"/>
  <c r="I11" i="56"/>
  <c r="I29" i="56"/>
  <c r="I18" i="56"/>
  <c r="I14" i="56"/>
  <c r="I34" i="56"/>
  <c r="C20" i="56" l="1"/>
  <c r="I32" i="56"/>
  <c r="I13" i="56"/>
  <c r="C73" i="56"/>
  <c r="I39" i="56"/>
  <c r="I15" i="56"/>
  <c r="I8" i="56"/>
  <c r="I36" i="56" l="1"/>
  <c r="I23" i="56"/>
  <c r="C79" i="56"/>
  <c r="I19" i="56"/>
  <c r="I38" i="56" l="1"/>
  <c r="C75" i="56" l="1"/>
  <c r="I21" i="56"/>
  <c r="C38" i="56" l="1"/>
  <c r="C33" i="56"/>
  <c r="C81" i="56"/>
  <c r="H8" i="56"/>
  <c r="H35" i="56"/>
  <c r="H14" i="56"/>
  <c r="H15" i="56"/>
  <c r="H13" i="56"/>
  <c r="H19" i="56"/>
  <c r="H9" i="56"/>
  <c r="H39" i="56"/>
  <c r="H12" i="56"/>
  <c r="H10" i="56"/>
  <c r="H11" i="56"/>
  <c r="H17" i="56"/>
  <c r="H16" i="56"/>
  <c r="H21" i="56"/>
  <c r="H53" i="56"/>
  <c r="H36" i="56"/>
  <c r="H50" i="56"/>
  <c r="H22" i="56"/>
  <c r="H63" i="56"/>
  <c r="C63" i="56" s="1"/>
  <c r="H18" i="56"/>
  <c r="H45" i="56" l="1"/>
  <c r="C45" i="56" s="1"/>
  <c r="H43" i="56"/>
  <c r="G29" i="56"/>
  <c r="F29" i="56"/>
  <c r="C53" i="56"/>
  <c r="H42" i="56"/>
  <c r="H26" i="56"/>
  <c r="H25" i="56"/>
  <c r="H59" i="56"/>
  <c r="H47" i="56"/>
  <c r="C29" i="56" l="1"/>
  <c r="H23" i="56"/>
  <c r="G8" i="56"/>
  <c r="G19" i="56"/>
  <c r="G24" i="56"/>
  <c r="G41" i="56"/>
  <c r="G40" i="56"/>
  <c r="G16" i="56"/>
  <c r="G26" i="56"/>
  <c r="G25" i="56"/>
  <c r="G35" i="56"/>
  <c r="G13" i="56"/>
  <c r="G14" i="56"/>
  <c r="G12" i="56"/>
  <c r="G42" i="56"/>
  <c r="C42" i="56"/>
  <c r="G9" i="56"/>
  <c r="G11" i="56"/>
  <c r="G83" i="56"/>
  <c r="C83" i="56" s="1"/>
  <c r="G32" i="56"/>
  <c r="G21" i="56"/>
  <c r="G49" i="56"/>
  <c r="G28" i="56"/>
  <c r="G15" i="56"/>
  <c r="G17" i="56" l="1"/>
  <c r="C17" i="56" s="1"/>
  <c r="G52" i="56"/>
  <c r="G34" i="56"/>
  <c r="G57" i="56"/>
  <c r="C36" i="56"/>
  <c r="G23" i="56"/>
  <c r="G10" i="56"/>
  <c r="C49" i="56"/>
  <c r="G18" i="56"/>
  <c r="G61" i="56"/>
  <c r="C61" i="56" s="1"/>
  <c r="G93" i="56"/>
  <c r="C93" i="56" s="1"/>
  <c r="C57" i="56"/>
  <c r="G47" i="56"/>
  <c r="C52" i="56"/>
  <c r="G50" i="56"/>
  <c r="C50" i="56" s="1"/>
  <c r="G22" i="56"/>
  <c r="F92" i="56"/>
  <c r="C92" i="56" s="1"/>
  <c r="F34" i="56"/>
  <c r="F11" i="56"/>
  <c r="F18" i="56"/>
  <c r="F72" i="56"/>
  <c r="C72" i="56" s="1"/>
  <c r="F9" i="56"/>
  <c r="F26" i="56"/>
  <c r="F25" i="56"/>
  <c r="F13" i="56"/>
  <c r="F22" i="56"/>
  <c r="F65" i="56"/>
  <c r="C65" i="56" s="1"/>
  <c r="F8" i="56"/>
  <c r="F24" i="56"/>
  <c r="C24" i="56" s="1"/>
  <c r="F40" i="56"/>
  <c r="F41" i="56"/>
  <c r="C34" i="56" l="1"/>
  <c r="F91" i="56"/>
  <c r="C91" i="56" s="1"/>
  <c r="F87" i="56"/>
  <c r="E26" i="56"/>
  <c r="C26" i="56" s="1"/>
  <c r="F86" i="56"/>
  <c r="C86" i="56" s="1"/>
  <c r="F44" i="56"/>
  <c r="F28" i="56"/>
  <c r="F90" i="56"/>
  <c r="C90" i="56" s="1"/>
  <c r="F74" i="56"/>
  <c r="C74" i="56" s="1"/>
  <c r="F10" i="56"/>
  <c r="F32" i="56"/>
  <c r="F59" i="56" l="1"/>
  <c r="C59" i="56" s="1"/>
  <c r="F21" i="56"/>
  <c r="C21" i="56" s="1"/>
  <c r="F19" i="56"/>
  <c r="F23" i="56"/>
  <c r="C23" i="56" s="1"/>
  <c r="F89" i="56"/>
  <c r="F56" i="56"/>
  <c r="C56" i="56" s="1"/>
  <c r="F16" i="56"/>
  <c r="F39" i="56"/>
  <c r="F64" i="56"/>
  <c r="C64" i="56" s="1"/>
  <c r="F12" i="56"/>
  <c r="F58" i="56"/>
  <c r="C58" i="56" s="1"/>
  <c r="F54" i="56"/>
  <c r="C54" i="56" s="1"/>
  <c r="E32" i="56"/>
  <c r="C32" i="56" s="1"/>
  <c r="E16" i="56"/>
  <c r="C16" i="56" s="1"/>
  <c r="E19" i="56"/>
  <c r="C19" i="56" s="1"/>
  <c r="E18" i="56"/>
  <c r="C18" i="56" s="1"/>
  <c r="E9" i="56"/>
  <c r="C9" i="56" s="1"/>
  <c r="E12" i="56"/>
  <c r="C12" i="56" s="1"/>
  <c r="E25" i="56"/>
  <c r="E8" i="56"/>
  <c r="C8" i="56" s="1"/>
  <c r="E22" i="56"/>
  <c r="C22" i="56" s="1"/>
  <c r="E44" i="56"/>
  <c r="C44" i="56" s="1"/>
  <c r="E13" i="56"/>
  <c r="C13" i="56" s="1"/>
  <c r="E10" i="56"/>
  <c r="C10" i="56" s="1"/>
  <c r="E14" i="56"/>
  <c r="C14" i="56" s="1"/>
  <c r="C89" i="56"/>
  <c r="C43" i="56"/>
  <c r="C68" i="56"/>
  <c r="C39" i="56"/>
  <c r="C41" i="56"/>
  <c r="C47" i="56"/>
  <c r="C15" i="56"/>
  <c r="C28" i="56"/>
  <c r="C25" i="56"/>
  <c r="C35" i="56"/>
  <c r="C11" i="56"/>
  <c r="C69" i="56"/>
  <c r="C87" i="56"/>
  <c r="C40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<sst xmlns="http://schemas.openxmlformats.org/spreadsheetml/2006/main" count="647" uniqueCount="392">
  <si>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</si>
  <si>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</si>
  <si>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</si>
  <si>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</si>
  <si>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</si>
  <si>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</si>
  <si>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</si>
  <si>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</si>
  <si>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</si>
  <si>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</si>
  <si>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</si>
  <si>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</si>
  <si>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</si>
  <si>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</si>
  <si>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</si>
  <si>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</si>
  <si>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</si>
  <si>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</si>
  <si>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</si>
  <si>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</si>
  <si>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</si>
  <si>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</si>
  <si>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</si>
  <si>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</si>
  <si>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</si>
  <si>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</si>
  <si>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</si>
  <si>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</si>
  <si>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</si>
  <si>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</si>
  <si>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</si>
  <si>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</si>
  <si>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</si>
  <si>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</si>
  <si>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</si>
  <si>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</si>
  <si>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</si>
  <si>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</si>
  <si>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</si>
  <si>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</si>
  <si>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</si>
  <si>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</si>
  <si>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</si>
  <si>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</si>
  <si>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</si>
  <si>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</si>
  <si>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</si>
  <si>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</si>
  <si>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</si>
  <si>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</si>
  <si>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</si>
  <si>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</si>
  <si>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</si>
  <si>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</si>
  <si>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</si>
  <si>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</si>
  <si>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</si>
  <si>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</si>
  <si>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</si>
  <si>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</si>
  <si>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</si>
  <si>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</si>
  <si>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</si>
  <si>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</si>
  <si>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</si>
  <si>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</si>
  <si>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</si>
  <si>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</si>
  <si>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</si>
  <si>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</si>
  <si>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</si>
  <si>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</si>
  <si>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</si>
  <si>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</si>
  <si>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</si>
  <si>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</si>
  <si>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</si>
  <si>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</si>
  <si>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</si>
  <si>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</si>
  <si>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</si>
  <si>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</si>
  <si>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</si>
  <si>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</si>
  <si>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</si>
  <si>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</si>
  <si>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</si>
  <si>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</si>
  <si>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</si>
  <si>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</si>
  <si>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</si>
  <si>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</si>
  <si>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</si>
  <si>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</si>
  <si>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</si>
  <si>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</si>
  <si>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</si>
  <si>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</si>
  <si>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</si>
  <si>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</si>
  <si>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</si>
  <si>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</si>
  <si>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</si>
  <si>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</si>
  <si>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</si>
  <si>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</si>
  <si>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</si>
  <si>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</si>
  <si>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</si>
  <si>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</si>
  <si>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</si>
  <si>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</si>
  <si>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</si>
  <si>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</si>
  <si>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</si>
  <si>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</si>
  <si>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</si>
  <si>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</si>
  <si>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</si>
  <si>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</si>
  <si>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</si>
  <si>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</si>
  <si>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</si>
  <si>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</si>
  <si>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</si>
  <si>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</si>
  <si>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</si>
  <si>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</si>
  <si>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</si>
  <si>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</si>
  <si>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</si>
  <si>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</si>
  <si>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</si>
  <si>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</si>
  <si>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</si>
  <si>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</si>
  <si>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</si>
  <si>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</si>
  <si>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</si>
  <si>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</si>
  <si>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</si>
  <si>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</si>
  <si>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</si>
  <si>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</si>
  <si>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</si>
  <si>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</si>
  <si>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</si>
  <si>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</si>
  <si>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</si>
  <si>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</si>
  <si>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</si>
  <si>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</si>
  <si>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</si>
  <si>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</si>
  <si>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</si>
  <si>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</si>
  <si>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</si>
  <si>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</si>
  <si>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</si>
  <si>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</si>
  <si>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</si>
  <si>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</si>
  <si>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</si>
  <si>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</si>
  <si>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</si>
  <si>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</si>
  <si>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</si>
  <si>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</si>
  <si>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</si>
  <si>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</si>
  <si>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</si>
  <si>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</si>
  <si>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</si>
  <si>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</si>
  <si>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</si>
  <si>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</si>
  <si>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</si>
  <si>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</si>
  <si>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</si>
  <si>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</si>
  <si>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</si>
  <si>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</si>
  <si>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</si>
  <si>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</si>
  <si>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</si>
  <si>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</si>
  <si>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</si>
  <si>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</si>
  <si>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</si>
  <si>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</si>
  <si>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</si>
  <si>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</si>
  <si>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</si>
  <si>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</si>
  <si>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</si>
  <si>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</si>
  <si>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</si>
  <si>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</si>
  <si>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</si>
  <si>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</si>
  <si>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</si>
  <si>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</si>
  <si>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</si>
  <si>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</si>
  <si>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</si>
  <si>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</si>
  <si>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</si>
  <si>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</si>
  <si>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</si>
  <si>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</si>
  <si>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</si>
  <si>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</si>
  <si>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</si>
  <si>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</si>
  <si>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</si>
  <si>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</si>
  <si>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</si>
  <si>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</si>
  <si>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</si>
  <si>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</si>
  <si>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</si>
  <si>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</si>
  <si>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</si>
  <si>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</si>
  <si>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</si>
  <si>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</si>
  <si>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</si>
  <si>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</si>
  <si>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</si>
  <si>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</si>
  <si>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</si>
  <si>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</si>
  <si>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</si>
  <si>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</si>
  <si>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</si>
  <si>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</si>
  <si>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</si>
  <si>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</si>
  <si>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</si>
  <si>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</si>
  <si>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</si>
  <si>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</si>
  <si>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</si>
  <si>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</si>
  <si>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</si>
  <si>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</si>
  <si>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</si>
  <si>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</si>
  <si>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</si>
  <si>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</si>
  <si>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</si>
  <si>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</si>
  <si>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</si>
  <si>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</si>
  <si>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</si>
  <si>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</si>
  <si>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</si>
  <si>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</si>
  <si>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</si>
  <si>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</si>
  <si>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</si>
  <si>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</si>
  <si>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</si>
  <si>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</si>
  <si>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</si>
  <si>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</si>
  <si>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</si>
  <si>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</si>
  <si>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</si>
  <si>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</si>
  <si>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</si>
  <si>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</si>
  <si>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</si>
  <si>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</si>
  <si>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</si>
  <si>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</si>
  <si>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</si>
  <si>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</si>
  <si>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</si>
  <si>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</si>
  <si>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</si>
  <si>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</si>
  <si>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</si>
  <si>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</si>
  <si>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</si>
  <si>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</si>
  <si>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</si>
  <si>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</si>
  <si>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</si>
  <si>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</si>
  <si>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</si>
  <si>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</si>
  <si>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</si>
  <si>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</si>
  <si>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</si>
  <si>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</si>
  <si>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</si>
  <si>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</si>
  <si>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</si>
  <si>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</si>
  <si>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</si>
  <si>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</si>
  <si>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</si>
  <si>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</si>
  <si>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</si>
  <si>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</si>
  <si>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</si>
  <si>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</si>
  <si>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</si>
  <si>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</si>
  <si>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</si>
  <si>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</si>
  <si>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</si>
  <si>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</si>
  <si>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</si>
  <si>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</si>
  <si>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</si>
  <si>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</si>
  <si>
    <t>Butara, Karen</t>
  </si>
  <si>
    <t>Zarate, Michael</t>
  </si>
  <si>
    <t>Bennett, Amber</t>
  </si>
  <si>
    <t>Allen, Stephanie</t>
  </si>
  <si>
    <t>Hartman, Wayne</t>
  </si>
  <si>
    <t>Morelli, Mark</t>
  </si>
  <si>
    <t>Link, Chris</t>
  </si>
  <si>
    <t>Harvey, Jared</t>
  </si>
  <si>
    <t>Billmyre, Ashley</t>
  </si>
  <si>
    <t>Saeed, Abdullah</t>
  </si>
  <si>
    <t>Trainer, Eric</t>
  </si>
  <si>
    <t>Brown, Roy</t>
  </si>
  <si>
    <t>Dunn, David</t>
  </si>
  <si>
    <t>Harmon, Matthew</t>
  </si>
  <si>
    <t>Lotz, Bruce</t>
  </si>
  <si>
    <t>Nevels, Shari</t>
  </si>
  <si>
    <t>Alviar, Monica</t>
  </si>
  <si>
    <t>Morelli, Max</t>
  </si>
  <si>
    <t>Fetta, Joe</t>
  </si>
  <si>
    <t>Hauske, Jerry</t>
  </si>
  <si>
    <t>Canright, Kyle</t>
  </si>
  <si>
    <t>Neimi, Dan</t>
  </si>
  <si>
    <t>Owens, Bryan</t>
  </si>
  <si>
    <t>12/16-12/17</t>
  </si>
  <si>
    <t>QUARTERLY EVENT: SUNDAY 12/22/24 @ 2:00 P.M.</t>
  </si>
  <si>
    <t>12/23 - 12/29</t>
  </si>
  <si>
    <t>12/30 - 1/5</t>
  </si>
  <si>
    <t>1/6 - 1/12</t>
  </si>
  <si>
    <t>1/13 - 1/19</t>
  </si>
  <si>
    <t>1/20 - 1/26</t>
  </si>
  <si>
    <t>1/27 - 2/2</t>
  </si>
  <si>
    <t>2/3 - 2/9</t>
  </si>
  <si>
    <t>2/10 - 2/16</t>
  </si>
  <si>
    <t>2/17 - 2/23</t>
  </si>
  <si>
    <t>2/24 - 3/2</t>
  </si>
  <si>
    <t>QUARTERLY EVENT: SUNDAY 3/9/25 @ 2:00 P.M.</t>
  </si>
  <si>
    <t>3/3 - 3/4</t>
  </si>
  <si>
    <t>$580 CASH PRIZE</t>
  </si>
  <si>
    <t>Ocon, Garrett</t>
  </si>
  <si>
    <t>Hare, Dylan</t>
  </si>
  <si>
    <t>Davis, Dana</t>
  </si>
  <si>
    <t>Brown, Kristen</t>
  </si>
  <si>
    <t>Accomando, Jason</t>
  </si>
  <si>
    <t>Davis, Miyah</t>
  </si>
  <si>
    <t>Haun, Olya</t>
  </si>
  <si>
    <t>Moore, Marcos</t>
  </si>
  <si>
    <t>Somerville, Rosie</t>
  </si>
  <si>
    <t>Davis, Adrian</t>
  </si>
  <si>
    <t>Somerville, Patrick</t>
  </si>
  <si>
    <t>Cartright, Kyle</t>
  </si>
  <si>
    <t>Lee, Jinny</t>
  </si>
  <si>
    <t>Warda, Alex</t>
  </si>
  <si>
    <t>Gotcher, Jim</t>
  </si>
  <si>
    <t>Ward, Jay</t>
  </si>
  <si>
    <t>Zaldiver, Joel</t>
  </si>
  <si>
    <t>Zaldiver, Kevin</t>
  </si>
  <si>
    <t>Kilari, Madhu</t>
  </si>
  <si>
    <t>Brown, Kaylah</t>
  </si>
  <si>
    <t>Wasson, Bill</t>
  </si>
  <si>
    <t>Ezparza, Marcelo</t>
  </si>
  <si>
    <t>Robbins, Jessica</t>
  </si>
  <si>
    <t>Luft, Ted</t>
  </si>
  <si>
    <t>Chen, Li</t>
  </si>
  <si>
    <t>O'Neal, Will</t>
  </si>
  <si>
    <t>Wiese, Dean</t>
  </si>
  <si>
    <t>Quintana, Bryan</t>
  </si>
  <si>
    <t>Davis, Jaz</t>
  </si>
  <si>
    <t>Ricari, Madhu</t>
  </si>
  <si>
    <t>Behl, Ryan</t>
  </si>
  <si>
    <t>Gill, Nick</t>
  </si>
  <si>
    <t>Gundy, Steve</t>
  </si>
  <si>
    <t>Fullilove, Jarrel</t>
  </si>
  <si>
    <t>McQuid, Riley</t>
  </si>
  <si>
    <t>Banks,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</si>
</sst>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10"/>
      <color indexed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39" fillId="0" borderId="0" xfId="37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9" fillId="0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40" fillId="24" borderId="10" xfId="0" applyNumberFormat="1" applyFont="1" applyFill="1" applyBorder="1" applyAlignment="1">
      <alignment horizontal="center"/>
    </xf>
    <xf numFmtId="0" fontId="40" fillId="24" borderId="10" xfId="0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51556" cy="148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zoomScale="98" zoomScaleNormal="98" workbookViewId="0">
      <selection activeCell="N8" sqref="N8"/>
    </sheetView>
  </sheetViews>
  <sheetFormatPr defaultRowHeight="12.75" x14ac:dyDescent="0.2"/>
  <cols>
    <col min="1" max="1" width="6.7109375" customWidth="1"/>
    <col min="2" max="2" width="18.5703125" customWidth="1"/>
    <col min="3" max="3" width="7.5703125" customWidth="1"/>
    <col min="4" max="4" width="6.28515625" customWidth="1"/>
    <col min="5" max="5" width="10.42578125" customWidth="1"/>
    <col min="6" max="6" width="8.85546875" customWidth="1"/>
    <col min="7" max="7" width="8.42578125" customWidth="1"/>
    <col min="8" max="9" width="9.140625" customWidth="1"/>
    <col min="10" max="10" width="8.42578125" customWidth="1"/>
    <col min="11" max="11" width="7.28515625" customWidth="1"/>
    <col min="12" max="13" width="8.85546875" customWidth="1"/>
    <col min="14" max="14" width="8" customWidth="1"/>
    <col min="15" max="15" width="7.425781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353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355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">
      <c r="A7" s="46" t="s">
        <v>1</v>
      </c>
      <c r="B7" s="46" t="s">
        <v>0</v>
      </c>
      <c r="C7" s="46" t="s">
        <v>2</v>
      </c>
      <c r="D7" s="45">
        <v>45648</v>
      </c>
      <c r="E7" s="45" t="s">
        <v>343</v>
      </c>
      <c r="F7" s="45" t="s">
        <v>344</v>
      </c>
      <c r="G7" s="45" t="s">
        <v>345</v>
      </c>
      <c r="H7" s="45" t="s">
        <v>346</v>
      </c>
      <c r="I7" s="45" t="s">
        <v>347</v>
      </c>
      <c r="J7" s="45" t="s">
        <v>348</v>
      </c>
      <c r="K7" s="45" t="s">
        <v>349</v>
      </c>
      <c r="L7" s="45" t="s">
        <v>350</v>
      </c>
      <c r="M7" s="45" t="s">
        <v>351</v>
      </c>
      <c r="N7" s="45" t="s">
        <v>352</v>
      </c>
      <c r="O7" s="45" t="s">
        <v>354</v>
      </c>
    </row>
    <row r="8" spans="1:15" ht="15" customHeight="1" x14ac:dyDescent="0.2">
      <c r="A8" s="48">
        <v>1</v>
      </c>
      <c r="B8" s="48" t="s">
        <v>285</v>
      </c>
      <c r="C8" s="50">
        <f>SUM(D8:O8)</f>
        <v>10730</v>
      </c>
      <c r="D8" s="47">
        <f>350+130</f>
        <v>480</v>
      </c>
      <c r="E8" s="47">
        <f>475+375+130+425</f>
        <v>1405</v>
      </c>
      <c r="F8" s="47">
        <f>425+375+145+475</f>
        <v>1420</v>
      </c>
      <c r="G8" s="47">
        <f>300+200+350+325</f>
        <v>1175</v>
      </c>
      <c r="H8" s="47">
        <f>425+575+350</f>
        <v>1350</v>
      </c>
      <c r="I8" s="47">
        <f>275+250+175+425</f>
        <v>1125</v>
      </c>
      <c r="J8" s="47">
        <f>300+375+475+225</f>
        <v>1375</v>
      </c>
      <c r="K8" s="47">
        <f>250+175</f>
        <v>425</v>
      </c>
      <c r="L8" s="47">
        <f>425+275+275+575</f>
        <v>1550</v>
      </c>
      <c r="M8" s="47">
        <f>425</f>
        <v>425</v>
      </c>
      <c r="N8" s="47"/>
      <c r="O8" s="47"/>
    </row>
    <row r="9" spans="1:15" ht="15" customHeight="1" x14ac:dyDescent="0.2">
      <c r="A9" s="48">
        <v>2</v>
      </c>
      <c r="B9" s="48" t="s">
        <v>335</v>
      </c>
      <c r="C9" s="50">
        <f>SUM(D9:O9)</f>
        <v>9645</v>
      </c>
      <c r="D9" s="47">
        <f>575+375</f>
        <v>950</v>
      </c>
      <c r="E9" s="47">
        <f>300+350+350</f>
        <v>1000</v>
      </c>
      <c r="F9" s="47">
        <f>300+300+575</f>
        <v>1175</v>
      </c>
      <c r="G9" s="47">
        <f>275+145+425</f>
        <v>845</v>
      </c>
      <c r="H9" s="47">
        <f>375+225+575</f>
        <v>1175</v>
      </c>
      <c r="I9" s="47">
        <f>175+375+425+350</f>
        <v>1325</v>
      </c>
      <c r="J9" s="47">
        <f>325+300</f>
        <v>625</v>
      </c>
      <c r="K9" s="47">
        <f>275+375</f>
        <v>650</v>
      </c>
      <c r="L9" s="47">
        <f>575+375+200+175</f>
        <v>1325</v>
      </c>
      <c r="M9" s="47">
        <f>575</f>
        <v>575</v>
      </c>
      <c r="N9" s="47"/>
      <c r="O9" s="47"/>
    </row>
    <row r="10" spans="1:15" ht="15" customHeight="1" x14ac:dyDescent="0.2">
      <c r="A10" s="48">
        <v>3</v>
      </c>
      <c r="B10" s="48" t="s">
        <v>221</v>
      </c>
      <c r="C10" s="50">
        <f>SUM(D10:O10)</f>
        <v>8450</v>
      </c>
      <c r="D10" s="47">
        <f>475</f>
        <v>475</v>
      </c>
      <c r="E10" s="47">
        <f>325+250+115+275</f>
        <v>965</v>
      </c>
      <c r="F10" s="47">
        <f>225+475+325</f>
        <v>1025</v>
      </c>
      <c r="G10" s="47">
        <f>575+325+115+275</f>
        <v>1290</v>
      </c>
      <c r="H10" s="47">
        <f>300+175+375</f>
        <v>850</v>
      </c>
      <c r="I10" s="47">
        <f>375+200+145+475</f>
        <v>1195</v>
      </c>
      <c r="J10" s="47">
        <f>375+300+300</f>
        <v>975</v>
      </c>
      <c r="K10" s="47">
        <f>350+300</f>
        <v>650</v>
      </c>
      <c r="L10" s="47">
        <f>115+160+425</f>
        <v>700</v>
      </c>
      <c r="M10" s="47">
        <f>325</f>
        <v>325</v>
      </c>
      <c r="N10" s="47"/>
      <c r="O10" s="47"/>
    </row>
    <row r="11" spans="1:15" ht="15" customHeight="1" x14ac:dyDescent="0.2">
      <c r="A11" s="48">
        <v>4</v>
      </c>
      <c r="B11" s="48" t="s">
        <v>54</v>
      </c>
      <c r="C11" s="50">
        <f>SUM(D11:O11)</f>
        <v>7435</v>
      </c>
      <c r="D11" s="47">
        <f>425+575</f>
        <v>1000</v>
      </c>
      <c r="E11" s="47">
        <f>350+160</f>
        <v>510</v>
      </c>
      <c r="F11" s="47">
        <f>375+325+325</f>
        <v>1025</v>
      </c>
      <c r="G11" s="47">
        <f>350+375</f>
        <v>725</v>
      </c>
      <c r="H11" s="47">
        <f>375</f>
        <v>375</v>
      </c>
      <c r="I11" s="47">
        <f>350+325+325</f>
        <v>1000</v>
      </c>
      <c r="J11" s="47">
        <f>575+475+375</f>
        <v>1425</v>
      </c>
      <c r="K11" s="47">
        <f>375</f>
        <v>375</v>
      </c>
      <c r="L11" s="47">
        <f>350+300</f>
        <v>650</v>
      </c>
      <c r="M11" s="47">
        <f>350</f>
        <v>350</v>
      </c>
      <c r="N11" s="47"/>
      <c r="O11" s="47"/>
    </row>
    <row r="12" spans="1:15" ht="15" customHeight="1" x14ac:dyDescent="0.2">
      <c r="A12" s="48">
        <v>5</v>
      </c>
      <c r="B12" s="48" t="s">
        <v>325</v>
      </c>
      <c r="C12" s="50">
        <f>SUM(D12:O12)</f>
        <v>6355</v>
      </c>
      <c r="D12" s="47">
        <f>300+200</f>
        <v>500</v>
      </c>
      <c r="E12" s="47">
        <f>425+350+325</f>
        <v>1100</v>
      </c>
      <c r="F12" s="47">
        <f>130+200+425</f>
        <v>755</v>
      </c>
      <c r="G12" s="47">
        <f>475+275+200+175</f>
        <v>1125</v>
      </c>
      <c r="H12" s="47">
        <f>350+250</f>
        <v>600</v>
      </c>
      <c r="I12" s="47">
        <f>425+275+575</f>
        <v>1275</v>
      </c>
      <c r="J12" s="47">
        <f>425</f>
        <v>425</v>
      </c>
      <c r="K12" s="47">
        <f>350</f>
        <v>350</v>
      </c>
      <c r="L12" s="47">
        <f>225</f>
        <v>225</v>
      </c>
      <c r="M12" s="47">
        <v>0</v>
      </c>
      <c r="N12" s="47"/>
      <c r="O12" s="47"/>
    </row>
    <row r="13" spans="1:15" ht="15" customHeight="1" x14ac:dyDescent="0.2">
      <c r="A13" s="48">
        <v>6</v>
      </c>
      <c r="B13" s="48" t="s">
        <v>60</v>
      </c>
      <c r="C13" s="50">
        <f>SUM(D13:O13)</f>
        <v>6255</v>
      </c>
      <c r="D13" s="47">
        <f>225+160</f>
        <v>385</v>
      </c>
      <c r="E13" s="47">
        <f>575</f>
        <v>575</v>
      </c>
      <c r="F13" s="47">
        <f>200+160+225</f>
        <v>585</v>
      </c>
      <c r="G13" s="47">
        <f>325+130</f>
        <v>455</v>
      </c>
      <c r="H13" s="47">
        <f>145+275</f>
        <v>420</v>
      </c>
      <c r="I13" s="47">
        <f>575+225+375</f>
        <v>1175</v>
      </c>
      <c r="J13" s="47">
        <f>350+325+160</f>
        <v>835</v>
      </c>
      <c r="K13" s="47">
        <f>300+425</f>
        <v>725</v>
      </c>
      <c r="L13" s="47">
        <f>325+475</f>
        <v>800</v>
      </c>
      <c r="M13" s="47">
        <f>300</f>
        <v>300</v>
      </c>
      <c r="N13" s="47"/>
      <c r="O13" s="47"/>
    </row>
    <row r="14" spans="1:15" ht="15" customHeight="1" x14ac:dyDescent="0.2">
      <c r="A14" s="48">
        <v>7</v>
      </c>
      <c r="B14" s="48" t="s">
        <v>336</v>
      </c>
      <c r="C14" s="50">
        <f>SUM(D14:O14)</f>
        <v>5915</v>
      </c>
      <c r="D14" s="47">
        <f>250</f>
        <v>250</v>
      </c>
      <c r="E14" s="47">
        <f>275+200</f>
        <v>475</v>
      </c>
      <c r="F14" s="47">
        <f>325+250</f>
        <v>575</v>
      </c>
      <c r="G14" s="47">
        <f>200+160+375</f>
        <v>735</v>
      </c>
      <c r="H14" s="47">
        <f>475+275</f>
        <v>750</v>
      </c>
      <c r="I14" s="47">
        <f>325+300</f>
        <v>625</v>
      </c>
      <c r="J14" s="47">
        <f>425+575</f>
        <v>1000</v>
      </c>
      <c r="K14" s="47">
        <f>130+575</f>
        <v>705</v>
      </c>
      <c r="L14" s="47">
        <f>375+425</f>
        <v>800</v>
      </c>
      <c r="M14" s="47">
        <v>0</v>
      </c>
      <c r="N14" s="47"/>
      <c r="O14" s="47"/>
    </row>
    <row r="15" spans="1:15" ht="15" customHeight="1" x14ac:dyDescent="0.2">
      <c r="A15" s="48">
        <v>8</v>
      </c>
      <c r="B15" s="48" t="s">
        <v>23</v>
      </c>
      <c r="C15" s="50">
        <f>SUM(D15:O15)</f>
        <v>5745</v>
      </c>
      <c r="D15" s="47">
        <v>0</v>
      </c>
      <c r="E15" s="47">
        <f>275</f>
        <v>275</v>
      </c>
      <c r="F15" s="47">
        <f>475+225+425</f>
        <v>1125</v>
      </c>
      <c r="G15" s="47">
        <f>375+575+350</f>
        <v>1300</v>
      </c>
      <c r="H15" s="47">
        <f>225</f>
        <v>225</v>
      </c>
      <c r="I15" s="47">
        <f>275+350+200</f>
        <v>825</v>
      </c>
      <c r="J15" s="47">
        <f>475+200</f>
        <v>675</v>
      </c>
      <c r="K15" s="47">
        <f>225</f>
        <v>225</v>
      </c>
      <c r="L15" s="47">
        <f>475+145</f>
        <v>620</v>
      </c>
      <c r="M15" s="47">
        <f>475</f>
        <v>475</v>
      </c>
      <c r="N15" s="47"/>
      <c r="O15" s="47"/>
    </row>
    <row r="16" spans="1:15" ht="15" customHeight="1" x14ac:dyDescent="0.2">
      <c r="A16" s="48">
        <v>9</v>
      </c>
      <c r="B16" s="48" t="s">
        <v>233</v>
      </c>
      <c r="C16" s="50">
        <f>SUM(D16:O16)</f>
        <v>5445</v>
      </c>
      <c r="D16" s="47">
        <v>0</v>
      </c>
      <c r="E16" s="47">
        <f>475</f>
        <v>475</v>
      </c>
      <c r="F16" s="47">
        <f>300+250</f>
        <v>550</v>
      </c>
      <c r="G16" s="47">
        <f>575+475</f>
        <v>1050</v>
      </c>
      <c r="H16" s="47">
        <f>250+250</f>
        <v>500</v>
      </c>
      <c r="I16" s="47">
        <f>425+575</f>
        <v>1000</v>
      </c>
      <c r="J16" s="47">
        <f>175+425</f>
        <v>600</v>
      </c>
      <c r="K16" s="47">
        <f>200</f>
        <v>200</v>
      </c>
      <c r="L16" s="47">
        <f>145+575+350</f>
        <v>1070</v>
      </c>
      <c r="M16" s="47">
        <v>0</v>
      </c>
      <c r="N16" s="47"/>
      <c r="O16" s="47"/>
    </row>
    <row r="17" spans="1:15" ht="15" customHeight="1" x14ac:dyDescent="0.2">
      <c r="A17" s="48">
        <v>10</v>
      </c>
      <c r="B17" s="48" t="s">
        <v>232</v>
      </c>
      <c r="C17" s="50">
        <f>SUM(D17:O17)</f>
        <v>4860</v>
      </c>
      <c r="D17" s="47">
        <v>175</v>
      </c>
      <c r="E17" s="47">
        <f>300</f>
        <v>300</v>
      </c>
      <c r="F17" s="47">
        <f>575+575</f>
        <v>1150</v>
      </c>
      <c r="G17" s="47">
        <f>130+160</f>
        <v>290</v>
      </c>
      <c r="H17" s="47">
        <f>200</f>
        <v>200</v>
      </c>
      <c r="I17" s="47">
        <f>475+300</f>
        <v>775</v>
      </c>
      <c r="J17" s="47">
        <f>325+575</f>
        <v>900</v>
      </c>
      <c r="K17" s="47">
        <v>0</v>
      </c>
      <c r="L17" s="47">
        <f>250+200+250+145</f>
        <v>845</v>
      </c>
      <c r="M17" s="47">
        <f>225</f>
        <v>225</v>
      </c>
      <c r="N17" s="47"/>
      <c r="O17" s="47"/>
    </row>
    <row r="18" spans="1:15" ht="15" customHeight="1" x14ac:dyDescent="0.2">
      <c r="A18" s="48">
        <v>11</v>
      </c>
      <c r="B18" s="48" t="s">
        <v>358</v>
      </c>
      <c r="C18" s="49">
        <f>SUM(D18:O18)</f>
        <v>4445</v>
      </c>
      <c r="D18" s="47">
        <v>0</v>
      </c>
      <c r="E18" s="47">
        <f>250</f>
        <v>250</v>
      </c>
      <c r="F18" s="47">
        <f>175+250</f>
        <v>425</v>
      </c>
      <c r="G18" s="47">
        <v>0</v>
      </c>
      <c r="H18" s="47">
        <f>350+175+300</f>
        <v>825</v>
      </c>
      <c r="I18" s="47">
        <f>475+350+300</f>
        <v>1125</v>
      </c>
      <c r="J18" s="47">
        <f>250+350</f>
        <v>600</v>
      </c>
      <c r="K18" s="47">
        <f>145+250</f>
        <v>395</v>
      </c>
      <c r="L18" s="47">
        <f>225+225</f>
        <v>450</v>
      </c>
      <c r="M18" s="47">
        <f>375</f>
        <v>375</v>
      </c>
      <c r="N18" s="47"/>
      <c r="O18" s="47"/>
    </row>
    <row r="19" spans="1:15" ht="15" customHeight="1" x14ac:dyDescent="0.2">
      <c r="A19" s="48">
        <v>12</v>
      </c>
      <c r="B19" s="48" t="s">
        <v>190</v>
      </c>
      <c r="C19" s="49">
        <f>SUM(D19:O19)</f>
        <v>4435</v>
      </c>
      <c r="D19" s="47">
        <f>325</f>
        <v>325</v>
      </c>
      <c r="E19" s="47">
        <f>200+225</f>
        <v>425</v>
      </c>
      <c r="F19" s="47">
        <f>145+175+200</f>
        <v>520</v>
      </c>
      <c r="G19" s="47">
        <f>475</f>
        <v>475</v>
      </c>
      <c r="H19" s="47">
        <f>475+145</f>
        <v>620</v>
      </c>
      <c r="I19" s="47">
        <f>250+160</f>
        <v>410</v>
      </c>
      <c r="J19" s="47">
        <f>250+250</f>
        <v>500</v>
      </c>
      <c r="K19" s="47">
        <f>325</f>
        <v>325</v>
      </c>
      <c r="L19" s="47">
        <f>575+130+130</f>
        <v>835</v>
      </c>
      <c r="M19" s="47">
        <v>0</v>
      </c>
      <c r="N19" s="47"/>
      <c r="O19" s="47"/>
    </row>
    <row r="20" spans="1:15" ht="15" customHeight="1" x14ac:dyDescent="0.2">
      <c r="A20" s="48">
        <v>13</v>
      </c>
      <c r="B20" s="48" t="s">
        <v>323</v>
      </c>
      <c r="C20" s="49">
        <f>SUM(D20:O20)</f>
        <v>3865</v>
      </c>
      <c r="D20" s="47">
        <v>225</v>
      </c>
      <c r="E20" s="47">
        <f>175+375</f>
        <v>550</v>
      </c>
      <c r="F20" s="47">
        <f>575+350+350</f>
        <v>1275</v>
      </c>
      <c r="G20" s="47">
        <f>425+145+300+145</f>
        <v>1015</v>
      </c>
      <c r="H20" s="47">
        <v>0</v>
      </c>
      <c r="I20" s="47">
        <v>0</v>
      </c>
      <c r="J20" s="47">
        <v>0</v>
      </c>
      <c r="K20" s="47">
        <f>575</f>
        <v>575</v>
      </c>
      <c r="L20" s="47">
        <f>225</f>
        <v>225</v>
      </c>
      <c r="M20" s="47">
        <v>0</v>
      </c>
      <c r="N20" s="47"/>
      <c r="O20" s="47"/>
    </row>
    <row r="21" spans="1:15" ht="15" customHeight="1" x14ac:dyDescent="0.2">
      <c r="A21" s="48">
        <v>14</v>
      </c>
      <c r="B21" s="48" t="s">
        <v>319</v>
      </c>
      <c r="C21" s="49">
        <f>SUM(D21:O21)</f>
        <v>3655</v>
      </c>
      <c r="D21" s="47">
        <f>175</f>
        <v>175</v>
      </c>
      <c r="E21" s="47">
        <f>145+225</f>
        <v>370</v>
      </c>
      <c r="F21" s="47">
        <f>160+175+375</f>
        <v>710</v>
      </c>
      <c r="G21" s="47">
        <f>250+250</f>
        <v>500</v>
      </c>
      <c r="H21" s="47">
        <v>0</v>
      </c>
      <c r="I21" s="47">
        <f>175+225+375</f>
        <v>775</v>
      </c>
      <c r="J21" s="47">
        <v>0</v>
      </c>
      <c r="K21" s="47">
        <v>0</v>
      </c>
      <c r="L21" s="47">
        <f>475+350+300</f>
        <v>1125</v>
      </c>
      <c r="M21" s="47">
        <v>0</v>
      </c>
      <c r="N21" s="47"/>
      <c r="O21" s="47"/>
    </row>
    <row r="22" spans="1:15" ht="15" customHeight="1" x14ac:dyDescent="0.2">
      <c r="A22" s="48">
        <v>15</v>
      </c>
      <c r="B22" s="48" t="s">
        <v>27</v>
      </c>
      <c r="C22" s="49">
        <f>SUM(D22:O22)</f>
        <v>3575</v>
      </c>
      <c r="D22" s="47">
        <v>350</v>
      </c>
      <c r="E22" s="47">
        <v>0</v>
      </c>
      <c r="F22" s="47">
        <f>350</f>
        <v>350</v>
      </c>
      <c r="G22" s="47">
        <f>250+300</f>
        <v>550</v>
      </c>
      <c r="H22" s="47">
        <f>325</f>
        <v>325</v>
      </c>
      <c r="I22" s="47">
        <v>0</v>
      </c>
      <c r="J22" s="47">
        <f>275+325</f>
        <v>600</v>
      </c>
      <c r="K22" s="47">
        <f>425</f>
        <v>425</v>
      </c>
      <c r="L22" s="47">
        <f>175+325+475</f>
        <v>975</v>
      </c>
      <c r="M22" s="47">
        <v>0</v>
      </c>
      <c r="N22" s="47"/>
      <c r="O22" s="47"/>
    </row>
    <row r="23" spans="1:15" ht="15" customHeight="1" x14ac:dyDescent="0.2">
      <c r="A23" s="48">
        <v>16</v>
      </c>
      <c r="B23" s="48" t="s">
        <v>326</v>
      </c>
      <c r="C23" s="49">
        <f>SUM(D23:O23)</f>
        <v>3450</v>
      </c>
      <c r="D23" s="47">
        <f>200</f>
        <v>200</v>
      </c>
      <c r="E23" s="47">
        <f>375+225+575+300</f>
        <v>1475</v>
      </c>
      <c r="F23" s="47">
        <f>275</f>
        <v>275</v>
      </c>
      <c r="G23" s="47">
        <f>160</f>
        <v>160</v>
      </c>
      <c r="H23" s="47">
        <f>325+325</f>
        <v>650</v>
      </c>
      <c r="I23" s="47">
        <f>225</f>
        <v>225</v>
      </c>
      <c r="J23" s="47">
        <v>0</v>
      </c>
      <c r="K23" s="47">
        <f>160</f>
        <v>160</v>
      </c>
      <c r="L23" s="47">
        <f>130+175</f>
        <v>305</v>
      </c>
      <c r="M23" s="47">
        <v>0</v>
      </c>
      <c r="N23" s="47"/>
      <c r="O23" s="47"/>
    </row>
    <row r="24" spans="1:15" ht="15" customHeight="1" x14ac:dyDescent="0.2">
      <c r="A24" s="48">
        <v>17</v>
      </c>
      <c r="B24" s="48" t="s">
        <v>198</v>
      </c>
      <c r="C24" s="49">
        <f>SUM(D24:O24)</f>
        <v>2875</v>
      </c>
      <c r="D24" s="47">
        <v>0</v>
      </c>
      <c r="E24" s="47">
        <v>0</v>
      </c>
      <c r="F24" s="47">
        <v>0</v>
      </c>
      <c r="G24" s="47">
        <f>175+475</f>
        <v>650</v>
      </c>
      <c r="H24" s="47">
        <f>350</f>
        <v>350</v>
      </c>
      <c r="I24" s="47">
        <v>0</v>
      </c>
      <c r="J24" s="47">
        <f>425</f>
        <v>425</v>
      </c>
      <c r="K24" s="47">
        <f>475</f>
        <v>475</v>
      </c>
      <c r="L24" s="47">
        <f>300+350+325</f>
        <v>975</v>
      </c>
      <c r="M24" s="47">
        <v>0</v>
      </c>
      <c r="N24" s="47"/>
      <c r="O24" s="47"/>
    </row>
    <row r="25" spans="1:15" ht="15" customHeight="1" x14ac:dyDescent="0.2">
      <c r="A25" s="48">
        <v>18</v>
      </c>
      <c r="B25" s="31" t="s">
        <v>287</v>
      </c>
      <c r="C25" s="49">
        <f>SUM(D25:O25)</f>
        <v>2835</v>
      </c>
      <c r="D25" s="47">
        <f>160</f>
        <v>160</v>
      </c>
      <c r="E25" s="47">
        <f>300</f>
        <v>300</v>
      </c>
      <c r="F25" s="47">
        <f>225</f>
        <v>225</v>
      </c>
      <c r="G25" s="47">
        <f>225</f>
        <v>225</v>
      </c>
      <c r="H25" s="47">
        <f>425</f>
        <v>425</v>
      </c>
      <c r="I25" s="47">
        <f>575+175</f>
        <v>750</v>
      </c>
      <c r="J25" s="47">
        <v>0</v>
      </c>
      <c r="K25" s="47">
        <v>0</v>
      </c>
      <c r="L25" s="47">
        <f>375+375</f>
        <v>750</v>
      </c>
      <c r="M25" s="47">
        <v>0</v>
      </c>
      <c r="N25" s="47"/>
      <c r="O25" s="47"/>
    </row>
    <row r="26" spans="1:15" ht="15" customHeight="1" x14ac:dyDescent="0.2">
      <c r="A26" s="48">
        <v>19</v>
      </c>
      <c r="B26" s="48" t="s">
        <v>365</v>
      </c>
      <c r="C26" s="49">
        <f>SUM(D26:O26)</f>
        <v>2530</v>
      </c>
      <c r="D26" s="47">
        <v>0</v>
      </c>
      <c r="E26" s="47">
        <v>0</v>
      </c>
      <c r="F26" s="47">
        <f>145</f>
        <v>145</v>
      </c>
      <c r="G26" s="47">
        <v>0</v>
      </c>
      <c r="H26" s="47">
        <f>300+475</f>
        <v>775</v>
      </c>
      <c r="I26" s="47">
        <f>200+225</f>
        <v>425</v>
      </c>
      <c r="J26" s="47">
        <f>225+375</f>
        <v>600</v>
      </c>
      <c r="K26" s="47">
        <f>175</f>
        <v>175</v>
      </c>
      <c r="L26" s="47">
        <f>250</f>
        <v>250</v>
      </c>
      <c r="M26" s="47">
        <f>160</f>
        <v>160</v>
      </c>
      <c r="N26" s="47"/>
      <c r="O26" s="47"/>
    </row>
    <row r="27" spans="1:15" ht="15" customHeight="1" x14ac:dyDescent="0.2">
      <c r="A27" s="48">
        <v>20</v>
      </c>
      <c r="B27" s="48" t="s">
        <v>254</v>
      </c>
      <c r="C27" s="49">
        <f>SUM(D27:O27)</f>
        <v>2510</v>
      </c>
      <c r="D27" s="47">
        <v>0</v>
      </c>
      <c r="E27" s="47">
        <f>375</f>
        <v>375</v>
      </c>
      <c r="F27" s="47">
        <f>160</f>
        <v>160</v>
      </c>
      <c r="G27" s="47">
        <v>0</v>
      </c>
      <c r="H27" s="47">
        <f>425+425</f>
        <v>850</v>
      </c>
      <c r="I27" s="47">
        <f>200</f>
        <v>200</v>
      </c>
      <c r="J27" s="47">
        <f>350+575</f>
        <v>925</v>
      </c>
      <c r="K27" s="47">
        <v>0</v>
      </c>
      <c r="L27" s="47">
        <v>0</v>
      </c>
      <c r="M27" s="47">
        <v>0</v>
      </c>
      <c r="N27" s="47"/>
      <c r="O27" s="47"/>
    </row>
    <row r="28" spans="1:15" ht="15" customHeight="1" x14ac:dyDescent="0.2">
      <c r="A28" s="48">
        <v>21</v>
      </c>
      <c r="B28" s="48" t="s">
        <v>12</v>
      </c>
      <c r="C28" s="49">
        <f>SUM(D28:O28)</f>
        <v>2070</v>
      </c>
      <c r="D28" s="47">
        <v>425</v>
      </c>
      <c r="E28" s="47">
        <f>275+575</f>
        <v>850</v>
      </c>
      <c r="F28" s="47">
        <f>145</f>
        <v>145</v>
      </c>
      <c r="G28" s="47">
        <v>0</v>
      </c>
      <c r="H28" s="47">
        <f>300</f>
        <v>300</v>
      </c>
      <c r="I28" s="47">
        <v>0</v>
      </c>
      <c r="J28" s="47">
        <f>350</f>
        <v>350</v>
      </c>
      <c r="K28" s="47">
        <v>0</v>
      </c>
      <c r="L28" s="47">
        <v>0</v>
      </c>
      <c r="M28" s="47">
        <v>0</v>
      </c>
      <c r="N28" s="47"/>
      <c r="O28" s="47"/>
    </row>
    <row r="29" spans="1:15" ht="15" customHeight="1" x14ac:dyDescent="0.2">
      <c r="A29" s="48">
        <v>22</v>
      </c>
      <c r="B29" s="48" t="s">
        <v>290</v>
      </c>
      <c r="C29" s="49">
        <f>SUM(D29:O29)</f>
        <v>2020</v>
      </c>
      <c r="D29" s="47">
        <v>250</v>
      </c>
      <c r="E29" s="47">
        <v>0</v>
      </c>
      <c r="F29" s="47">
        <f>275</f>
        <v>275</v>
      </c>
      <c r="G29" s="47">
        <v>0</v>
      </c>
      <c r="H29" s="47">
        <f>275</f>
        <v>275</v>
      </c>
      <c r="I29" s="47">
        <f>145</f>
        <v>145</v>
      </c>
      <c r="J29" s="47">
        <v>0</v>
      </c>
      <c r="K29" s="47">
        <f>325+225</f>
        <v>550</v>
      </c>
      <c r="L29" s="47">
        <f>250</f>
        <v>250</v>
      </c>
      <c r="M29" s="47">
        <f>275</f>
        <v>275</v>
      </c>
      <c r="N29" s="47"/>
      <c r="O29" s="47"/>
    </row>
    <row r="30" spans="1:15" ht="15" customHeight="1" x14ac:dyDescent="0.2">
      <c r="A30" s="48">
        <v>23</v>
      </c>
      <c r="B30" s="48" t="s">
        <v>16</v>
      </c>
      <c r="C30" s="49">
        <f>SUM(D30:O30)</f>
        <v>1725</v>
      </c>
      <c r="D30" s="47">
        <f>275</f>
        <v>275</v>
      </c>
      <c r="E30" s="47">
        <v>0</v>
      </c>
      <c r="F30" s="47">
        <v>0</v>
      </c>
      <c r="G30" s="47">
        <v>0</v>
      </c>
      <c r="H30" s="47">
        <f>575+575</f>
        <v>1150</v>
      </c>
      <c r="I30" s="47">
        <f>300</f>
        <v>300</v>
      </c>
      <c r="J30" s="47">
        <v>0</v>
      </c>
      <c r="K30" s="47">
        <v>0</v>
      </c>
      <c r="L30" s="47">
        <v>0</v>
      </c>
      <c r="M30" s="47">
        <v>0</v>
      </c>
      <c r="N30" s="47"/>
      <c r="O30" s="47"/>
    </row>
    <row r="31" spans="1:15" ht="15" customHeight="1" x14ac:dyDescent="0.2">
      <c r="A31" s="48">
        <v>24</v>
      </c>
      <c r="B31" s="48" t="s">
        <v>187</v>
      </c>
      <c r="C31" s="49">
        <f>SUM(D31:O31)</f>
        <v>1710</v>
      </c>
      <c r="D31" s="47">
        <v>0</v>
      </c>
      <c r="E31" s="47">
        <v>0</v>
      </c>
      <c r="F31" s="47">
        <v>0</v>
      </c>
      <c r="G31" s="47">
        <f>375+225</f>
        <v>600</v>
      </c>
      <c r="H31" s="47">
        <v>0</v>
      </c>
      <c r="I31" s="47">
        <v>0</v>
      </c>
      <c r="J31" s="47">
        <f>275+475</f>
        <v>750</v>
      </c>
      <c r="K31" s="47">
        <v>0</v>
      </c>
      <c r="L31" s="47">
        <f>160</f>
        <v>160</v>
      </c>
      <c r="M31" s="47">
        <f>200</f>
        <v>200</v>
      </c>
      <c r="N31" s="47"/>
      <c r="O31" s="47"/>
    </row>
    <row r="32" spans="1:15" ht="15" customHeight="1" x14ac:dyDescent="0.2">
      <c r="A32" s="48">
        <v>25</v>
      </c>
      <c r="B32" s="48" t="s">
        <v>363</v>
      </c>
      <c r="C32" s="49">
        <f>SUM(D32:O32)</f>
        <v>1415</v>
      </c>
      <c r="D32" s="47">
        <v>0</v>
      </c>
      <c r="E32" s="47">
        <v>0</v>
      </c>
      <c r="F32" s="47">
        <f>115</f>
        <v>115</v>
      </c>
      <c r="G32" s="47">
        <f>250+275+575</f>
        <v>1100</v>
      </c>
      <c r="H32" s="47">
        <f>200</f>
        <v>200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/>
      <c r="O32" s="47"/>
    </row>
    <row r="33" spans="1:15" ht="15" customHeight="1" x14ac:dyDescent="0.2">
      <c r="A33" s="48">
        <v>26</v>
      </c>
      <c r="B33" s="48" t="s">
        <v>154</v>
      </c>
      <c r="C33" s="49">
        <f>SUM(D33:O33)</f>
        <v>1350</v>
      </c>
      <c r="D33" s="47">
        <v>0</v>
      </c>
      <c r="E33" s="47">
        <v>0</v>
      </c>
      <c r="F33" s="47">
        <f>425</f>
        <v>425</v>
      </c>
      <c r="G33" s="47">
        <f>225</f>
        <v>225</v>
      </c>
      <c r="H33" s="47">
        <v>0</v>
      </c>
      <c r="I33" s="47">
        <v>0</v>
      </c>
      <c r="J33" s="47">
        <v>0</v>
      </c>
      <c r="K33" s="47">
        <v>0</v>
      </c>
      <c r="L33" s="47">
        <f>425+275</f>
        <v>700</v>
      </c>
      <c r="M33" s="47">
        <v>0</v>
      </c>
      <c r="N33" s="47"/>
      <c r="O33" s="47"/>
    </row>
    <row r="34" spans="1:15" ht="15" customHeight="1" x14ac:dyDescent="0.2">
      <c r="A34" s="48">
        <v>27</v>
      </c>
      <c r="B34" s="48" t="s">
        <v>24</v>
      </c>
      <c r="C34" s="49">
        <f>SUM(D34:O34)</f>
        <v>1330</v>
      </c>
      <c r="D34" s="47">
        <v>300</v>
      </c>
      <c r="E34" s="47">
        <f>325</f>
        <v>325</v>
      </c>
      <c r="F34" s="47">
        <v>0</v>
      </c>
      <c r="G34" s="47">
        <v>0</v>
      </c>
      <c r="H34" s="47">
        <f>375</f>
        <v>375</v>
      </c>
      <c r="I34" s="47">
        <f>130</f>
        <v>130</v>
      </c>
      <c r="J34" s="47">
        <v>0</v>
      </c>
      <c r="K34" s="47">
        <v>0</v>
      </c>
      <c r="L34" s="47">
        <f>200</f>
        <v>200</v>
      </c>
      <c r="M34" s="47">
        <v>0</v>
      </c>
      <c r="N34" s="47"/>
      <c r="O34" s="47"/>
    </row>
    <row r="35" spans="1:15" ht="15" customHeight="1" x14ac:dyDescent="0.2">
      <c r="A35" s="48">
        <v>27</v>
      </c>
      <c r="B35" s="48" t="s">
        <v>307</v>
      </c>
      <c r="C35" s="49">
        <f>SUM(D35:O35)</f>
        <v>1330</v>
      </c>
      <c r="D35" s="47">
        <v>275</v>
      </c>
      <c r="E35" s="47">
        <f>425</f>
        <v>425</v>
      </c>
      <c r="F35" s="47">
        <f>130</f>
        <v>130</v>
      </c>
      <c r="G35" s="47">
        <v>0</v>
      </c>
      <c r="H35" s="47">
        <f>160</f>
        <v>160</v>
      </c>
      <c r="I35" s="47">
        <v>0</v>
      </c>
      <c r="J35" s="47">
        <f>225</f>
        <v>225</v>
      </c>
      <c r="K35" s="47">
        <v>0</v>
      </c>
      <c r="L35" s="47">
        <f>115</f>
        <v>115</v>
      </c>
      <c r="M35" s="47">
        <v>0</v>
      </c>
      <c r="N35" s="47"/>
      <c r="O35" s="47"/>
    </row>
    <row r="36" spans="1:15" ht="15" customHeight="1" x14ac:dyDescent="0.2">
      <c r="A36" s="48">
        <v>28</v>
      </c>
      <c r="B36" s="48" t="s">
        <v>383</v>
      </c>
      <c r="C36" s="49">
        <f>SUM(D36:O36)</f>
        <v>1235</v>
      </c>
      <c r="D36" s="47">
        <v>0</v>
      </c>
      <c r="E36" s="47">
        <v>0</v>
      </c>
      <c r="F36" s="47">
        <f>275+160</f>
        <v>435</v>
      </c>
      <c r="G36" s="47">
        <v>0</v>
      </c>
      <c r="H36" s="47">
        <v>0</v>
      </c>
      <c r="I36" s="47">
        <f>160</f>
        <v>160</v>
      </c>
      <c r="J36" s="47">
        <f>160+175</f>
        <v>335</v>
      </c>
      <c r="K36" s="47">
        <v>0</v>
      </c>
      <c r="L36" s="47">
        <f>145+160</f>
        <v>305</v>
      </c>
      <c r="M36" s="47">
        <v>0</v>
      </c>
      <c r="N36" s="47"/>
      <c r="O36" s="47"/>
    </row>
    <row r="37" spans="1:15" ht="15" customHeight="1" x14ac:dyDescent="0.2">
      <c r="A37" s="48">
        <v>29</v>
      </c>
      <c r="B37" s="48" t="s">
        <v>138</v>
      </c>
      <c r="C37" s="49">
        <f>SUM(D37:O37)</f>
        <v>1200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f>250</f>
        <v>250</v>
      </c>
      <c r="J37" s="47">
        <f>200</f>
        <v>200</v>
      </c>
      <c r="K37" s="47">
        <f>475</f>
        <v>475</v>
      </c>
      <c r="L37" s="47">
        <f>275</f>
        <v>275</v>
      </c>
      <c r="M37" s="47">
        <v>0</v>
      </c>
      <c r="N37" s="47"/>
      <c r="O37" s="47"/>
    </row>
    <row r="38" spans="1:15" ht="15" customHeight="1" x14ac:dyDescent="0.2">
      <c r="A38" s="48">
        <v>30</v>
      </c>
      <c r="B38" s="48" t="s">
        <v>359</v>
      </c>
      <c r="C38" s="49">
        <f>SUM(D38:O38)</f>
        <v>1140</v>
      </c>
      <c r="D38" s="47">
        <v>0</v>
      </c>
      <c r="E38" s="47">
        <f>200+115</f>
        <v>315</v>
      </c>
      <c r="F38" s="47">
        <f>115</f>
        <v>115</v>
      </c>
      <c r="G38" s="47">
        <v>0</v>
      </c>
      <c r="H38" s="47">
        <f>275</f>
        <v>275</v>
      </c>
      <c r="I38" s="47">
        <v>0</v>
      </c>
      <c r="J38" s="47">
        <f>275</f>
        <v>275</v>
      </c>
      <c r="K38" s="47">
        <f>160</f>
        <v>160</v>
      </c>
      <c r="L38" s="47">
        <v>0</v>
      </c>
      <c r="M38" s="47">
        <v>0</v>
      </c>
      <c r="N38" s="47"/>
      <c r="O38" s="47"/>
    </row>
    <row r="39" spans="1:15" ht="15" customHeight="1" x14ac:dyDescent="0.2">
      <c r="A39" s="48">
        <v>31</v>
      </c>
      <c r="B39" s="48" t="s">
        <v>165</v>
      </c>
      <c r="C39" s="49">
        <f>SUM(D39:O39)</f>
        <v>980</v>
      </c>
      <c r="D39" s="47">
        <f>375</f>
        <v>375</v>
      </c>
      <c r="E39" s="47">
        <f>475</f>
        <v>475</v>
      </c>
      <c r="F39" s="47">
        <f>130</f>
        <v>130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/>
      <c r="O39" s="47"/>
    </row>
    <row r="40" spans="1:15" ht="15" customHeight="1" x14ac:dyDescent="0.2">
      <c r="A40" s="48">
        <v>32</v>
      </c>
      <c r="B40" s="48" t="s">
        <v>374</v>
      </c>
      <c r="C40" s="49">
        <f>SUM(D40:O40)</f>
        <v>940</v>
      </c>
      <c r="D40" s="47">
        <v>0</v>
      </c>
      <c r="E40" s="47">
        <f>145</f>
        <v>145</v>
      </c>
      <c r="F40" s="47">
        <v>0</v>
      </c>
      <c r="G40" s="47">
        <v>0</v>
      </c>
      <c r="H40" s="47">
        <v>0</v>
      </c>
      <c r="I40" s="47">
        <v>0</v>
      </c>
      <c r="J40" s="47">
        <f>145+175+200</f>
        <v>520</v>
      </c>
      <c r="K40" s="47">
        <f>275</f>
        <v>275</v>
      </c>
      <c r="L40" s="47">
        <v>0</v>
      </c>
      <c r="M40" s="47">
        <v>0</v>
      </c>
      <c r="N40" s="47"/>
      <c r="O40" s="47"/>
    </row>
    <row r="41" spans="1:15" ht="15" customHeight="1" x14ac:dyDescent="0.2">
      <c r="A41" s="52">
        <v>33</v>
      </c>
      <c r="B41" s="52" t="s">
        <v>362</v>
      </c>
      <c r="C41" s="53">
        <f>SUM(D41:O41)</f>
        <v>925</v>
      </c>
      <c r="D41" s="47">
        <v>0</v>
      </c>
      <c r="E41" s="47">
        <f>425</f>
        <v>425</v>
      </c>
      <c r="F41" s="47">
        <v>0</v>
      </c>
      <c r="G41" s="47">
        <f>175</f>
        <v>175</v>
      </c>
      <c r="H41" s="47">
        <v>0</v>
      </c>
      <c r="I41" s="47">
        <f>325</f>
        <v>325</v>
      </c>
      <c r="J41" s="47">
        <v>0</v>
      </c>
      <c r="K41" s="47">
        <v>0</v>
      </c>
      <c r="L41" s="47">
        <v>0</v>
      </c>
      <c r="M41" s="47">
        <v>0</v>
      </c>
      <c r="N41" s="47"/>
      <c r="O41" s="47"/>
    </row>
    <row r="42" spans="1:15" ht="15" customHeight="1" x14ac:dyDescent="0.2">
      <c r="A42" s="52">
        <v>34</v>
      </c>
      <c r="B42" s="52" t="s">
        <v>316</v>
      </c>
      <c r="C42" s="53">
        <f>SUM(D42:O42)</f>
        <v>880</v>
      </c>
      <c r="D42" s="47">
        <f>130</f>
        <v>130</v>
      </c>
      <c r="E42" s="47">
        <v>0</v>
      </c>
      <c r="F42" s="47">
        <v>0</v>
      </c>
      <c r="G42" s="47">
        <v>0</v>
      </c>
      <c r="H42" s="47">
        <v>0</v>
      </c>
      <c r="I42" s="47">
        <f>475+275</f>
        <v>750</v>
      </c>
      <c r="J42" s="47">
        <v>0</v>
      </c>
      <c r="K42" s="47">
        <v>0</v>
      </c>
      <c r="L42" s="47">
        <v>0</v>
      </c>
      <c r="M42" s="47">
        <v>0</v>
      </c>
      <c r="N42" s="47"/>
      <c r="O42" s="47"/>
    </row>
    <row r="43" spans="1:15" ht="15" customHeight="1" x14ac:dyDescent="0.2">
      <c r="A43" s="52">
        <v>35</v>
      </c>
      <c r="B43" s="52" t="s">
        <v>255</v>
      </c>
      <c r="C43" s="53">
        <f>SUM(D43:O43)</f>
        <v>850</v>
      </c>
      <c r="D43" s="47">
        <v>475</v>
      </c>
      <c r="E43" s="47">
        <v>0</v>
      </c>
      <c r="F43" s="47">
        <f>375</f>
        <v>375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/>
      <c r="O43" s="47"/>
    </row>
    <row r="44" spans="1:15" ht="15" customHeight="1" x14ac:dyDescent="0.2">
      <c r="A44" s="52">
        <v>36</v>
      </c>
      <c r="B44" s="52" t="s">
        <v>264</v>
      </c>
      <c r="C44" s="53">
        <f>SUM(D44:O44)</f>
        <v>780</v>
      </c>
      <c r="D44" s="47">
        <v>0</v>
      </c>
      <c r="E44" s="47">
        <v>0</v>
      </c>
      <c r="F44" s="47">
        <v>0</v>
      </c>
      <c r="G44" s="47">
        <f>350</f>
        <v>350</v>
      </c>
      <c r="H44" s="47">
        <f>130</f>
        <v>130</v>
      </c>
      <c r="I44" s="47">
        <v>0</v>
      </c>
      <c r="J44" s="47">
        <v>0</v>
      </c>
      <c r="K44" s="47">
        <v>0</v>
      </c>
      <c r="L44" s="47">
        <f>300</f>
        <v>300</v>
      </c>
      <c r="M44" s="47">
        <v>0</v>
      </c>
      <c r="N44" s="47"/>
      <c r="O44" s="47"/>
    </row>
    <row r="45" spans="1:15" ht="15" customHeight="1" x14ac:dyDescent="0.2">
      <c r="A45" s="52">
        <v>37</v>
      </c>
      <c r="B45" s="52" t="s">
        <v>384</v>
      </c>
      <c r="C45" s="53">
        <f>SUM(D45:O45)</f>
        <v>755</v>
      </c>
      <c r="D45" s="47">
        <v>0</v>
      </c>
      <c r="E45" s="47">
        <f>175</f>
        <v>175</v>
      </c>
      <c r="F45" s="47">
        <f>175+275</f>
        <v>450</v>
      </c>
      <c r="G45" s="47">
        <v>0</v>
      </c>
      <c r="H45" s="47">
        <v>0</v>
      </c>
      <c r="I45" s="47">
        <v>0</v>
      </c>
      <c r="J45" s="47">
        <f>130</f>
        <v>130</v>
      </c>
      <c r="K45" s="47">
        <v>0</v>
      </c>
      <c r="L45" s="47">
        <v>0</v>
      </c>
      <c r="M45" s="47">
        <v>0</v>
      </c>
      <c r="N45" s="47"/>
      <c r="O45" s="47"/>
    </row>
    <row r="46" spans="1:15" ht="15" customHeight="1" x14ac:dyDescent="0.2">
      <c r="A46" s="52">
        <v>38</v>
      </c>
      <c r="B46" s="52" t="s">
        <v>276</v>
      </c>
      <c r="C46" s="53">
        <f>SUM(D46:O46)</f>
        <v>740</v>
      </c>
      <c r="D46" s="47">
        <v>0</v>
      </c>
      <c r="E46" s="47">
        <v>0</v>
      </c>
      <c r="F46" s="47">
        <f>350</f>
        <v>350</v>
      </c>
      <c r="G46" s="47">
        <v>0</v>
      </c>
      <c r="H46" s="47">
        <v>0</v>
      </c>
      <c r="I46" s="47">
        <f>115</f>
        <v>115</v>
      </c>
      <c r="J46" s="47">
        <f>275</f>
        <v>275</v>
      </c>
      <c r="K46" s="47">
        <v>0</v>
      </c>
      <c r="L46" s="47">
        <v>0</v>
      </c>
      <c r="M46" s="47">
        <v>0</v>
      </c>
      <c r="N46" s="47"/>
      <c r="O46" s="47"/>
    </row>
    <row r="47" spans="1:15" ht="15" customHeight="1" x14ac:dyDescent="0.2">
      <c r="A47" s="52">
        <v>39</v>
      </c>
      <c r="B47" s="52" t="s">
        <v>377</v>
      </c>
      <c r="C47" s="53">
        <f>SUM(D47:O47)</f>
        <v>685</v>
      </c>
      <c r="D47" s="47">
        <v>0</v>
      </c>
      <c r="E47" s="47">
        <v>0</v>
      </c>
      <c r="F47" s="47">
        <v>0</v>
      </c>
      <c r="G47" s="47">
        <f>325+200</f>
        <v>525</v>
      </c>
      <c r="H47" s="47">
        <v>0</v>
      </c>
      <c r="I47" s="47">
        <v>0</v>
      </c>
      <c r="J47" s="47">
        <v>0</v>
      </c>
      <c r="K47" s="47">
        <v>0</v>
      </c>
      <c r="L47" s="47">
        <f>160</f>
        <v>160</v>
      </c>
      <c r="M47" s="47">
        <v>0</v>
      </c>
      <c r="N47" s="47"/>
      <c r="O47" s="47"/>
    </row>
    <row r="48" spans="1:15" ht="15" customHeight="1" x14ac:dyDescent="0.2">
      <c r="A48" s="52">
        <v>40</v>
      </c>
      <c r="B48" s="52" t="s">
        <v>372</v>
      </c>
      <c r="C48" s="53">
        <f>SUM(D48:O48)</f>
        <v>655</v>
      </c>
      <c r="D48" s="47">
        <v>0</v>
      </c>
      <c r="E48" s="47">
        <v>0</v>
      </c>
      <c r="F48" s="47">
        <v>0</v>
      </c>
      <c r="G48" s="47">
        <f>425</f>
        <v>425</v>
      </c>
      <c r="H48" s="47">
        <f>115</f>
        <v>115</v>
      </c>
      <c r="I48" s="47">
        <v>0</v>
      </c>
      <c r="J48" s="47">
        <v>0</v>
      </c>
      <c r="K48" s="47">
        <v>0</v>
      </c>
      <c r="L48" s="47">
        <f>115</f>
        <v>115</v>
      </c>
      <c r="M48" s="47">
        <v>0</v>
      </c>
      <c r="N48" s="47"/>
      <c r="O48" s="47"/>
    </row>
    <row r="49" spans="1:15" ht="15" customHeight="1" x14ac:dyDescent="0.2">
      <c r="A49" s="52">
        <v>41</v>
      </c>
      <c r="B49" s="52" t="s">
        <v>274</v>
      </c>
      <c r="C49" s="53">
        <f>SUM(D49:O49)</f>
        <v>650</v>
      </c>
      <c r="D49" s="47">
        <v>0</v>
      </c>
      <c r="E49" s="47">
        <f>325</f>
        <v>325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f>325</f>
        <v>325</v>
      </c>
      <c r="M49" s="47">
        <v>0</v>
      </c>
      <c r="N49" s="47"/>
      <c r="O49" s="47"/>
    </row>
    <row r="50" spans="1:15" ht="15" customHeight="1" x14ac:dyDescent="0.2">
      <c r="A50" s="52">
        <v>42</v>
      </c>
      <c r="B50" s="52" t="s">
        <v>379</v>
      </c>
      <c r="C50" s="53">
        <f>SUM(D50:O50)</f>
        <v>605</v>
      </c>
      <c r="D50" s="47">
        <v>0</v>
      </c>
      <c r="E50" s="47">
        <v>0</v>
      </c>
      <c r="F50" s="47">
        <v>0</v>
      </c>
      <c r="G50" s="47">
        <v>0</v>
      </c>
      <c r="H50" s="47">
        <f>475</f>
        <v>475</v>
      </c>
      <c r="I50" s="47">
        <f>130</f>
        <v>130</v>
      </c>
      <c r="J50" s="47">
        <v>0</v>
      </c>
      <c r="K50" s="47">
        <v>0</v>
      </c>
      <c r="L50" s="47">
        <v>0</v>
      </c>
      <c r="M50" s="47">
        <v>0</v>
      </c>
      <c r="N50" s="47"/>
      <c r="O50" s="47"/>
    </row>
    <row r="51" spans="1:15" ht="15" customHeight="1" x14ac:dyDescent="0.2">
      <c r="A51" s="51">
        <v>43</v>
      </c>
      <c r="B51" s="51" t="s">
        <v>330</v>
      </c>
      <c r="C51" s="47">
        <f>SUM(D51:O51)</f>
        <v>575</v>
      </c>
      <c r="D51" s="47">
        <v>0</v>
      </c>
      <c r="E51" s="47">
        <f>575</f>
        <v>575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/>
      <c r="O51" s="47"/>
    </row>
    <row r="52" spans="1:15" ht="15" customHeight="1" x14ac:dyDescent="0.2">
      <c r="A52" s="51">
        <v>43</v>
      </c>
      <c r="B52" s="51" t="s">
        <v>308</v>
      </c>
      <c r="C52" s="47">
        <f>SUM(D52:O52)</f>
        <v>575</v>
      </c>
      <c r="D52" s="47">
        <v>325</v>
      </c>
      <c r="E52" s="47">
        <f>250</f>
        <v>250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/>
      <c r="O52" s="47"/>
    </row>
    <row r="53" spans="1:15" ht="15" customHeight="1" x14ac:dyDescent="0.2">
      <c r="A53" s="51">
        <v>44</v>
      </c>
      <c r="B53" s="51" t="s">
        <v>360</v>
      </c>
      <c r="C53" s="47">
        <f>SUM(D53:O53)</f>
        <v>475</v>
      </c>
      <c r="D53" s="47">
        <v>0</v>
      </c>
      <c r="E53" s="47">
        <v>0</v>
      </c>
      <c r="F53" s="47">
        <f>475</f>
        <v>475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/>
      <c r="O53" s="47"/>
    </row>
    <row r="54" spans="1:15" ht="15" customHeight="1" x14ac:dyDescent="0.2">
      <c r="A54" s="51">
        <v>44</v>
      </c>
      <c r="B54" s="51" t="s">
        <v>214</v>
      </c>
      <c r="C54" s="47">
        <f>SUM(D54:O54)</f>
        <v>475</v>
      </c>
      <c r="D54" s="47">
        <v>0</v>
      </c>
      <c r="E54" s="47">
        <f>475</f>
        <v>475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/>
      <c r="O54" s="47"/>
    </row>
    <row r="55" spans="1:15" ht="15" customHeight="1" x14ac:dyDescent="0.2">
      <c r="A55" s="51">
        <v>45</v>
      </c>
      <c r="B55" s="51" t="s">
        <v>59</v>
      </c>
      <c r="C55" s="47">
        <f>SUM(D55:O55)</f>
        <v>450</v>
      </c>
      <c r="D55" s="47">
        <v>0</v>
      </c>
      <c r="E55" s="47">
        <v>0</v>
      </c>
      <c r="F55" s="47">
        <f>250</f>
        <v>250</v>
      </c>
      <c r="G55" s="47">
        <v>0</v>
      </c>
      <c r="H55" s="47">
        <v>0</v>
      </c>
      <c r="I55" s="47">
        <v>0</v>
      </c>
      <c r="J55" s="47">
        <v>0</v>
      </c>
      <c r="K55" s="47">
        <f>200</f>
        <v>200</v>
      </c>
      <c r="L55" s="47">
        <v>0</v>
      </c>
      <c r="M55" s="47">
        <v>0</v>
      </c>
      <c r="N55" s="47"/>
      <c r="O55" s="47"/>
    </row>
    <row r="56" spans="1:15" ht="15" customHeight="1" x14ac:dyDescent="0.2">
      <c r="A56" s="51">
        <v>46</v>
      </c>
      <c r="B56" s="51" t="s">
        <v>373</v>
      </c>
      <c r="C56" s="47">
        <f>SUM(D56:O56)</f>
        <v>440</v>
      </c>
      <c r="D56" s="47">
        <v>0</v>
      </c>
      <c r="E56" s="47">
        <v>0</v>
      </c>
      <c r="F56" s="47">
        <v>0</v>
      </c>
      <c r="G56" s="47">
        <f>115</f>
        <v>115</v>
      </c>
      <c r="H56" s="47">
        <f>325</f>
        <v>325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/>
      <c r="O56" s="47"/>
    </row>
    <row r="57" spans="1:15" ht="15" customHeight="1" x14ac:dyDescent="0.2">
      <c r="A57" s="51">
        <v>47</v>
      </c>
      <c r="B57" s="51" t="s">
        <v>388</v>
      </c>
      <c r="C57" s="47">
        <f>SUM(D57:O57)</f>
        <v>425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f>175</f>
        <v>175</v>
      </c>
      <c r="M57" s="47">
        <f>250</f>
        <v>250</v>
      </c>
      <c r="N57" s="47"/>
      <c r="O57" s="47"/>
    </row>
    <row r="58" spans="1:15" ht="15" customHeight="1" x14ac:dyDescent="0.2">
      <c r="A58" s="51">
        <v>47</v>
      </c>
      <c r="B58" s="51" t="s">
        <v>376</v>
      </c>
      <c r="C58" s="47">
        <f>SUM(D58:O58)</f>
        <v>425</v>
      </c>
      <c r="D58" s="47">
        <v>0</v>
      </c>
      <c r="E58" s="47">
        <v>0</v>
      </c>
      <c r="F58" s="47">
        <v>0</v>
      </c>
      <c r="G58" s="47">
        <f>425</f>
        <v>425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/>
      <c r="O58" s="47"/>
    </row>
    <row r="59" spans="1:15" ht="15" customHeight="1" x14ac:dyDescent="0.2">
      <c r="A59" s="51">
        <v>48</v>
      </c>
      <c r="B59" s="51" t="s">
        <v>361</v>
      </c>
      <c r="C59" s="47">
        <f>SUM(D59:O59)</f>
        <v>385</v>
      </c>
      <c r="D59" s="47">
        <v>0</v>
      </c>
      <c r="E59" s="47">
        <f>160</f>
        <v>160</v>
      </c>
      <c r="F59" s="47">
        <v>0</v>
      </c>
      <c r="G59" s="47">
        <v>0</v>
      </c>
      <c r="H59" s="47">
        <f>225</f>
        <v>225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/>
      <c r="O59" s="47"/>
    </row>
    <row r="60" spans="1:15" ht="15" customHeight="1" x14ac:dyDescent="0.2">
      <c r="A60" s="51">
        <v>49</v>
      </c>
      <c r="B60" s="51" t="s">
        <v>364</v>
      </c>
      <c r="C60" s="47">
        <f>SUM(D60:O60)</f>
        <v>300</v>
      </c>
      <c r="D60" s="47">
        <v>0</v>
      </c>
      <c r="E60" s="47">
        <v>0</v>
      </c>
      <c r="F60" s="47">
        <f>300</f>
        <v>300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/>
      <c r="O60" s="47"/>
    </row>
    <row r="61" spans="1:15" ht="15" customHeight="1" x14ac:dyDescent="0.2">
      <c r="A61" s="51">
        <v>50</v>
      </c>
      <c r="B61" s="51" t="s">
        <v>317</v>
      </c>
      <c r="C61" s="47">
        <f>SUM(D61:O61)</f>
        <v>290</v>
      </c>
      <c r="D61" s="47">
        <f>145+145</f>
        <v>290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/>
      <c r="O61" s="47"/>
    </row>
    <row r="62" spans="1:15" ht="15" customHeight="1" x14ac:dyDescent="0.2">
      <c r="A62" s="51">
        <v>51</v>
      </c>
      <c r="B62" s="51" t="s">
        <v>380</v>
      </c>
      <c r="C62" s="47">
        <f>SUM(D62:O62)</f>
        <v>275</v>
      </c>
      <c r="D62" s="47">
        <v>0</v>
      </c>
      <c r="E62" s="47">
        <v>0</v>
      </c>
      <c r="F62" s="47">
        <v>0</v>
      </c>
      <c r="G62" s="47">
        <v>0</v>
      </c>
      <c r="H62" s="47">
        <f>115</f>
        <v>115</v>
      </c>
      <c r="I62" s="47">
        <f>160</f>
        <v>160</v>
      </c>
      <c r="J62" s="47">
        <v>0</v>
      </c>
      <c r="K62" s="47">
        <v>0</v>
      </c>
      <c r="L62" s="47">
        <v>0</v>
      </c>
      <c r="M62" s="47">
        <v>0</v>
      </c>
      <c r="N62" s="47"/>
      <c r="O62" s="47"/>
    </row>
    <row r="63" spans="1:15" ht="15" customHeight="1" x14ac:dyDescent="0.2">
      <c r="A63" s="51">
        <v>52</v>
      </c>
      <c r="B63" s="51" t="s">
        <v>386</v>
      </c>
      <c r="C63" s="47">
        <f>SUM(D63:O63)</f>
        <v>250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f>250</f>
        <v>250</v>
      </c>
      <c r="K63" s="47">
        <v>0</v>
      </c>
      <c r="L63" s="47">
        <v>0</v>
      </c>
      <c r="M63" s="47">
        <v>0</v>
      </c>
      <c r="N63" s="47"/>
      <c r="O63" s="47"/>
    </row>
    <row r="64" spans="1:15" ht="15" customHeight="1" x14ac:dyDescent="0.2">
      <c r="A64" s="51">
        <v>52</v>
      </c>
      <c r="B64" s="51" t="s">
        <v>356</v>
      </c>
      <c r="C64" s="47">
        <f>SUM(D64:O64)</f>
        <v>250</v>
      </c>
      <c r="D64" s="47">
        <v>0</v>
      </c>
      <c r="E64" s="47">
        <f>250</f>
        <v>250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/>
      <c r="O64" s="47"/>
    </row>
    <row r="65" spans="1:15" ht="15" customHeight="1" x14ac:dyDescent="0.2">
      <c r="A65" s="51">
        <v>52</v>
      </c>
      <c r="B65" s="51" t="s">
        <v>385</v>
      </c>
      <c r="C65" s="47">
        <f>SUM(D65:O65)</f>
        <v>250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f>250</f>
        <v>250</v>
      </c>
      <c r="J65" s="47">
        <v>0</v>
      </c>
      <c r="K65" s="47">
        <v>0</v>
      </c>
      <c r="L65" s="47">
        <v>0</v>
      </c>
      <c r="M65" s="47">
        <v>0</v>
      </c>
      <c r="N65" s="47"/>
      <c r="O65" s="47"/>
    </row>
    <row r="66" spans="1:15" ht="15" customHeight="1" x14ac:dyDescent="0.2">
      <c r="A66" s="51">
        <v>53</v>
      </c>
      <c r="B66" s="51" t="s">
        <v>357</v>
      </c>
      <c r="C66" s="47">
        <f>SUM(D66:O66)</f>
        <v>225</v>
      </c>
      <c r="D66" s="47">
        <v>0</v>
      </c>
      <c r="E66" s="47">
        <f>225</f>
        <v>225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/>
      <c r="O66" s="47"/>
    </row>
    <row r="67" spans="1:15" ht="15" customHeight="1" x14ac:dyDescent="0.2">
      <c r="A67" s="51">
        <v>53</v>
      </c>
      <c r="B67" s="51" t="s">
        <v>368</v>
      </c>
      <c r="C67" s="47">
        <f>SUM(D67:O67)</f>
        <v>225</v>
      </c>
      <c r="D67" s="47">
        <v>0</v>
      </c>
      <c r="E67" s="47">
        <v>0</v>
      </c>
      <c r="F67" s="47">
        <v>0</v>
      </c>
      <c r="G67" s="47">
        <f>225</f>
        <v>225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/>
      <c r="O67" s="47"/>
    </row>
    <row r="68" spans="1:15" ht="15" customHeight="1" x14ac:dyDescent="0.2">
      <c r="A68" s="51">
        <v>54</v>
      </c>
      <c r="B68" s="51" t="s">
        <v>389</v>
      </c>
      <c r="C68" s="47">
        <f>SUM(D68:O68)</f>
        <v>200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f>200</f>
        <v>200</v>
      </c>
      <c r="M68" s="47">
        <v>0</v>
      </c>
      <c r="N68" s="47"/>
      <c r="O68" s="47"/>
    </row>
    <row r="69" spans="1:15" ht="15" customHeight="1" x14ac:dyDescent="0.2">
      <c r="A69" s="51">
        <v>55</v>
      </c>
      <c r="B69" s="51" t="s">
        <v>390</v>
      </c>
      <c r="C69" s="47">
        <f>SUM(D69:O69)</f>
        <v>175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f>175</f>
        <v>175</v>
      </c>
      <c r="N69" s="47"/>
      <c r="O69" s="47"/>
    </row>
    <row r="70" spans="1:15" ht="15" customHeight="1" x14ac:dyDescent="0.2">
      <c r="A70" s="51">
        <v>55</v>
      </c>
      <c r="B70" s="51" t="s">
        <v>369</v>
      </c>
      <c r="C70" s="47">
        <f>SUM(D70:O70)</f>
        <v>175</v>
      </c>
      <c r="D70" s="47">
        <v>0</v>
      </c>
      <c r="E70" s="47">
        <v>0</v>
      </c>
      <c r="F70" s="47">
        <v>0</v>
      </c>
      <c r="G70" s="47">
        <f>175</f>
        <v>175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/>
      <c r="O70" s="47"/>
    </row>
    <row r="71" spans="1:15" ht="15" customHeight="1" x14ac:dyDescent="0.2">
      <c r="A71" s="51">
        <v>56</v>
      </c>
      <c r="B71" s="51" t="s">
        <v>370</v>
      </c>
      <c r="C71" s="47">
        <f>SUM(D71:O71)</f>
        <v>160</v>
      </c>
      <c r="D71" s="47">
        <v>0</v>
      </c>
      <c r="E71" s="47">
        <v>0</v>
      </c>
      <c r="F71" s="47">
        <v>0</v>
      </c>
      <c r="G71" s="47">
        <f>160</f>
        <v>160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/>
      <c r="O71" s="47"/>
    </row>
    <row r="72" spans="1:15" ht="15" customHeight="1" x14ac:dyDescent="0.2">
      <c r="A72" s="51">
        <v>56</v>
      </c>
      <c r="B72" s="51" t="s">
        <v>378</v>
      </c>
      <c r="C72" s="47">
        <f>SUM(D72:O72)</f>
        <v>160</v>
      </c>
      <c r="D72" s="47">
        <v>0</v>
      </c>
      <c r="E72" s="47">
        <v>0</v>
      </c>
      <c r="F72" s="47">
        <v>0</v>
      </c>
      <c r="G72" s="47">
        <v>0</v>
      </c>
      <c r="H72" s="47">
        <f>160</f>
        <v>160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/>
      <c r="O72" s="47"/>
    </row>
    <row r="73" spans="1:15" ht="15" customHeight="1" x14ac:dyDescent="0.2">
      <c r="A73" s="51">
        <v>56</v>
      </c>
      <c r="B73" s="51" t="s">
        <v>382</v>
      </c>
      <c r="C73" s="47">
        <f>SUM(D73:O73)</f>
        <v>160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f>160</f>
        <v>160</v>
      </c>
      <c r="J73" s="47">
        <v>0</v>
      </c>
      <c r="K73" s="47">
        <v>0</v>
      </c>
      <c r="L73" s="47">
        <v>0</v>
      </c>
      <c r="M73" s="47">
        <v>0</v>
      </c>
      <c r="N73" s="47"/>
      <c r="O73" s="47"/>
    </row>
    <row r="74" spans="1:15" ht="15" customHeight="1" x14ac:dyDescent="0.2">
      <c r="A74" s="51">
        <v>57</v>
      </c>
      <c r="B74" s="51" t="s">
        <v>391</v>
      </c>
      <c r="C74" s="47">
        <f>SUM(D74:O74)</f>
        <v>145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f>145</f>
        <v>145</v>
      </c>
      <c r="N74" s="47"/>
      <c r="O74" s="47"/>
    </row>
    <row r="75" spans="1:15" ht="15" customHeight="1" x14ac:dyDescent="0.2">
      <c r="A75" s="51">
        <v>57</v>
      </c>
      <c r="B75" s="51" t="s">
        <v>371</v>
      </c>
      <c r="C75" s="47">
        <f>SUM(D75:O75)</f>
        <v>145</v>
      </c>
      <c r="D75" s="47">
        <v>0</v>
      </c>
      <c r="E75" s="47">
        <v>0</v>
      </c>
      <c r="F75" s="47">
        <v>0</v>
      </c>
      <c r="G75" s="47">
        <f>145</f>
        <v>145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/>
      <c r="O75" s="47"/>
    </row>
    <row r="76" spans="1:15" ht="15" customHeight="1" x14ac:dyDescent="0.2">
      <c r="A76" s="51">
        <v>58</v>
      </c>
      <c r="B76" s="51" t="s">
        <v>375</v>
      </c>
      <c r="C76" s="47">
        <f>SUM(D76:O76)</f>
        <v>130</v>
      </c>
      <c r="D76" s="47">
        <v>0</v>
      </c>
      <c r="E76" s="47">
        <f>130</f>
        <v>130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/>
      <c r="O76" s="47"/>
    </row>
    <row r="77" spans="1:15" ht="15" customHeight="1" x14ac:dyDescent="0.2">
      <c r="A77" s="51">
        <v>58</v>
      </c>
      <c r="B77" s="51" t="s">
        <v>381</v>
      </c>
      <c r="C77" s="47">
        <f>SUM(D77:O77)</f>
        <v>130</v>
      </c>
      <c r="D77" s="47">
        <v>0</v>
      </c>
      <c r="E77" s="47">
        <v>0</v>
      </c>
      <c r="F77" s="47">
        <v>0</v>
      </c>
      <c r="G77" s="47">
        <v>0</v>
      </c>
      <c r="H77" s="47">
        <f>130</f>
        <v>130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/>
      <c r="O77" s="47"/>
    </row>
    <row r="78" spans="1:15" ht="15" customHeight="1" x14ac:dyDescent="0.2">
      <c r="A78" s="51">
        <v>58</v>
      </c>
      <c r="B78" s="51" t="s">
        <v>366</v>
      </c>
      <c r="C78" s="47">
        <f>SUM(D78:O78)</f>
        <v>130</v>
      </c>
      <c r="D78" s="47">
        <v>0</v>
      </c>
      <c r="E78" s="47">
        <v>0</v>
      </c>
      <c r="F78" s="47">
        <f>130</f>
        <v>130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/>
      <c r="O78" s="47"/>
    </row>
    <row r="79" spans="1:15" ht="15" customHeight="1" x14ac:dyDescent="0.2">
      <c r="A79" s="51">
        <v>59</v>
      </c>
      <c r="B79" s="51" t="s">
        <v>367</v>
      </c>
      <c r="C79" s="47">
        <f>SUM(D79:O79)</f>
        <v>115</v>
      </c>
      <c r="D79" s="47">
        <v>0</v>
      </c>
      <c r="E79" s="47">
        <v>0</v>
      </c>
      <c r="F79" s="47">
        <f>115</f>
        <v>115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/>
      <c r="O79" s="47"/>
    </row>
    <row r="80" spans="1:15" ht="15" customHeight="1" x14ac:dyDescent="0.2">
      <c r="A80" s="51">
        <v>59</v>
      </c>
      <c r="B80" s="51" t="s">
        <v>387</v>
      </c>
      <c r="C80" s="47">
        <f>SUM(D80:O80)</f>
        <v>115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f>115</f>
        <v>115</v>
      </c>
      <c r="L80" s="47">
        <v>0</v>
      </c>
      <c r="M80" s="47">
        <v>0</v>
      </c>
      <c r="N80" s="47"/>
      <c r="O80" s="47"/>
    </row>
    <row r="81" spans="1:15" ht="15" customHeight="1" x14ac:dyDescent="0.2">
      <c r="A81" s="51">
        <v>59</v>
      </c>
      <c r="B81" s="51" t="s">
        <v>315</v>
      </c>
      <c r="C81" s="47">
        <f>SUM(D81:O81)</f>
        <v>115</v>
      </c>
      <c r="D81" s="47">
        <v>115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/>
      <c r="O81" s="47"/>
    </row>
    <row r="82" spans="1:15" ht="15" customHeight="1" x14ac:dyDescent="0.2">
      <c r="A82" s="25"/>
      <c r="B82" s="2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6"/>
      <c r="O82" s="6"/>
    </row>
    <row r="83" spans="1:15" ht="15" customHeight="1" x14ac:dyDescent="0.25">
      <c r="A83" s="39" t="s">
        <v>3</v>
      </c>
      <c r="B83" s="40"/>
      <c r="C83" s="40"/>
      <c r="D83" s="40"/>
      <c r="E83" s="3"/>
      <c r="F83" s="3"/>
      <c r="G83" s="3"/>
      <c r="H83" s="3"/>
      <c r="I83" s="3"/>
      <c r="J83" s="3"/>
    </row>
    <row r="84" spans="1:15" ht="18.75" customHeight="1" x14ac:dyDescent="0.25">
      <c r="A84" s="41" t="s">
        <v>4</v>
      </c>
      <c r="B84" s="42"/>
      <c r="C84" s="42"/>
      <c r="D84" s="42"/>
      <c r="E84" s="4"/>
      <c r="F84" s="4"/>
      <c r="G84" s="4"/>
      <c r="H84" s="4"/>
      <c r="I84" s="4"/>
      <c r="J84" s="4"/>
    </row>
    <row r="85" spans="1:15" ht="18.75" customHeight="1" x14ac:dyDescent="0.25">
      <c r="A85" s="43" t="s">
        <v>5</v>
      </c>
      <c r="B85" s="44"/>
      <c r="C85" s="44"/>
      <c r="D85" s="44"/>
      <c r="E85" s="5"/>
      <c r="F85" s="5"/>
      <c r="G85" s="5"/>
      <c r="H85" s="5"/>
      <c r="I85" s="5"/>
      <c r="J85" s="5"/>
    </row>
    <row r="86" spans="1:15" ht="18.75" customHeight="1" x14ac:dyDescent="0.2"/>
    <row r="88" spans="1:15" ht="21" customHeight="1" x14ac:dyDescent="0.2"/>
    <row r="112" ht="18.75" customHeight="1" x14ac:dyDescent="0.2"/>
    <row r="113" ht="18.75" customHeight="1" x14ac:dyDescent="0.2"/>
  </sheetData>
  <sortState ref="A8:O81">
    <sortCondition descending="1" ref="C8:C8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ignoredErrors>
    <ignoredError sqref="F27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76" t="s">
        <v>8</v>
      </c>
      <c r="B2" s="76"/>
      <c r="C2" s="76"/>
      <c r="D2" s="76"/>
      <c r="E2" s="76"/>
      <c r="F2" s="76"/>
      <c r="G2" s="76"/>
      <c r="H2" s="76"/>
    </row>
    <row r="3" spans="1:8" ht="33" customHeight="1" x14ac:dyDescent="0.4">
      <c r="A3" s="77" t="s">
        <v>26</v>
      </c>
      <c r="B3" s="78"/>
      <c r="C3" s="78"/>
      <c r="D3" s="78"/>
      <c r="E3" s="78"/>
      <c r="F3" s="78"/>
      <c r="G3" s="78"/>
      <c r="H3" s="78"/>
    </row>
    <row r="4" spans="1:8" ht="9.75" customHeight="1" x14ac:dyDescent="0.4">
      <c r="A4" s="77"/>
      <c r="B4" s="78"/>
      <c r="C4" s="78"/>
      <c r="D4" s="78"/>
      <c r="E4" s="78"/>
      <c r="F4" s="78"/>
      <c r="G4" s="78"/>
      <c r="H4" s="78"/>
    </row>
    <row r="5" spans="1:8" ht="30" customHeight="1" x14ac:dyDescent="0.4">
      <c r="A5" s="79" t="s">
        <v>21</v>
      </c>
      <c r="B5" s="80"/>
      <c r="C5" s="80"/>
      <c r="D5" s="80"/>
      <c r="E5" s="80"/>
      <c r="F5" s="80"/>
      <c r="G5" s="80"/>
      <c r="H5" s="80"/>
    </row>
    <row r="6" spans="1:8" ht="30.75" customHeight="1" x14ac:dyDescent="0.2">
      <c r="A6" s="81"/>
      <c r="B6" s="81"/>
      <c r="C6" s="81"/>
      <c r="D6" s="81"/>
      <c r="E6" s="81"/>
      <c r="F6" s="81"/>
      <c r="G6" s="81"/>
      <c r="H6" s="8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2" t="s">
        <v>3</v>
      </c>
      <c r="B32" s="83"/>
      <c r="C32" s="83"/>
      <c r="D32" s="7"/>
      <c r="E32" s="3"/>
      <c r="F32" s="3"/>
      <c r="G32" s="3"/>
      <c r="H32" s="3"/>
    </row>
    <row r="33" spans="1:8" ht="18.75" customHeight="1" x14ac:dyDescent="0.25">
      <c r="A33" s="84" t="s">
        <v>4</v>
      </c>
      <c r="B33" s="85"/>
      <c r="C33" s="85"/>
      <c r="D33" s="8"/>
      <c r="E33" s="4"/>
      <c r="F33" s="4"/>
      <c r="G33" s="4"/>
      <c r="H33" s="4"/>
    </row>
    <row r="34" spans="1:8" ht="18.75" customHeight="1" x14ac:dyDescent="0.25">
      <c r="A34" s="86" t="s">
        <v>5</v>
      </c>
      <c r="B34" s="87"/>
      <c r="C34" s="8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8" zoomScaleNormal="98" workbookViewId="0">
      <selection activeCell="C8" sqref="C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293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28" t="s">
        <v>1</v>
      </c>
      <c r="B7" s="28" t="s">
        <v>0</v>
      </c>
      <c r="C7" s="28" t="s">
        <v>2</v>
      </c>
      <c r="D7" s="29">
        <v>45571</v>
      </c>
      <c r="E7" s="29" t="s">
        <v>294</v>
      </c>
      <c r="F7" s="29" t="s">
        <v>295</v>
      </c>
      <c r="G7" s="29" t="s">
        <v>296</v>
      </c>
      <c r="H7" s="29" t="s">
        <v>297</v>
      </c>
      <c r="I7" s="29" t="s">
        <v>298</v>
      </c>
      <c r="J7" s="29" t="s">
        <v>299</v>
      </c>
      <c r="K7" s="29" t="s">
        <v>300</v>
      </c>
      <c r="L7" s="29" t="s">
        <v>301</v>
      </c>
      <c r="M7" s="29" t="s">
        <v>302</v>
      </c>
      <c r="N7" s="29" t="s">
        <v>303</v>
      </c>
      <c r="O7" s="29" t="s">
        <v>341</v>
      </c>
    </row>
    <row r="8" spans="1:15" ht="15" customHeight="1" x14ac:dyDescent="0.2">
      <c r="A8" s="31">
        <v>1</v>
      </c>
      <c r="B8" s="31" t="s">
        <v>279</v>
      </c>
      <c r="C8" s="33">
        <f t="shared" ref="C8:C29" si="0">SUM(D8:O8)</f>
        <v>12560</v>
      </c>
      <c r="D8" s="32">
        <v>575</v>
      </c>
      <c r="E8" s="32">
        <f>425+425</f>
        <v>850</v>
      </c>
      <c r="F8" s="32">
        <f>250+575+375</f>
        <v>1200</v>
      </c>
      <c r="G8" s="32">
        <f>145+575+425+475+115</f>
        <v>1735</v>
      </c>
      <c r="H8" s="32">
        <f>475+425+145</f>
        <v>1045</v>
      </c>
      <c r="I8" s="32">
        <f>SUM(225+575+175+145)</f>
        <v>1120</v>
      </c>
      <c r="J8" s="32">
        <f>275+325+350+425+375</f>
        <v>1750</v>
      </c>
      <c r="K8" s="32">
        <f>200+175+425+250</f>
        <v>1050</v>
      </c>
      <c r="L8" s="32">
        <f>575+575</f>
        <v>1150</v>
      </c>
      <c r="M8" s="32">
        <f>300+160+425</f>
        <v>885</v>
      </c>
      <c r="N8" s="32">
        <f>350+350</f>
        <v>700</v>
      </c>
      <c r="O8" s="32">
        <f>225+275</f>
        <v>500</v>
      </c>
    </row>
    <row r="9" spans="1:15" ht="15" customHeight="1" x14ac:dyDescent="0.2">
      <c r="A9" s="31">
        <v>2</v>
      </c>
      <c r="B9" s="31" t="s">
        <v>285</v>
      </c>
      <c r="C9" s="33">
        <f t="shared" si="0"/>
        <v>10335</v>
      </c>
      <c r="D9" s="32">
        <v>0</v>
      </c>
      <c r="E9" s="32">
        <f>475+325</f>
        <v>800</v>
      </c>
      <c r="F9" s="32">
        <f>175+200</f>
        <v>375</v>
      </c>
      <c r="G9" s="32">
        <f>325+575+375+475</f>
        <v>1750</v>
      </c>
      <c r="H9" s="32">
        <f>200+475+375+275</f>
        <v>1325</v>
      </c>
      <c r="I9" s="32">
        <f>SUM(275+300+300)</f>
        <v>875</v>
      </c>
      <c r="J9" s="32">
        <f>250+160+350</f>
        <v>760</v>
      </c>
      <c r="K9" s="32">
        <f>275+250+475+175+200</f>
        <v>1375</v>
      </c>
      <c r="L9" s="32">
        <f>475+115+300</f>
        <v>890</v>
      </c>
      <c r="M9" s="32">
        <f>225+200</f>
        <v>425</v>
      </c>
      <c r="N9" s="32">
        <f>200+375+350+300</f>
        <v>1225</v>
      </c>
      <c r="O9" s="32">
        <f>375+160</f>
        <v>535</v>
      </c>
    </row>
    <row r="10" spans="1:15" ht="15" customHeight="1" x14ac:dyDescent="0.2">
      <c r="A10" s="31">
        <v>3</v>
      </c>
      <c r="B10" s="31" t="s">
        <v>286</v>
      </c>
      <c r="C10" s="33">
        <f t="shared" si="0"/>
        <v>9045</v>
      </c>
      <c r="D10" s="32">
        <v>0</v>
      </c>
      <c r="E10" s="32">
        <f>375</f>
        <v>375</v>
      </c>
      <c r="F10" s="32">
        <f>300</f>
        <v>300</v>
      </c>
      <c r="G10" s="32">
        <f>575+425+350</f>
        <v>1350</v>
      </c>
      <c r="H10" s="32">
        <f>325+375+350</f>
        <v>1050</v>
      </c>
      <c r="I10" s="32">
        <f>SUM(425+300+200+275)</f>
        <v>1200</v>
      </c>
      <c r="J10" s="32">
        <f>575+475+145+325</f>
        <v>1520</v>
      </c>
      <c r="K10" s="32">
        <f>575+250+275+425</f>
        <v>1525</v>
      </c>
      <c r="L10" s="32">
        <f>425</f>
        <v>425</v>
      </c>
      <c r="M10" s="32">
        <f>275</f>
        <v>275</v>
      </c>
      <c r="N10" s="32">
        <f>475+175+375</f>
        <v>1025</v>
      </c>
      <c r="O10" s="32">
        <v>0</v>
      </c>
    </row>
    <row r="11" spans="1:15" ht="15" customHeight="1" x14ac:dyDescent="0.2">
      <c r="A11" s="31">
        <v>4</v>
      </c>
      <c r="B11" s="31" t="s">
        <v>12</v>
      </c>
      <c r="C11" s="33">
        <f t="shared" si="0"/>
        <v>8520</v>
      </c>
      <c r="D11" s="32">
        <v>0</v>
      </c>
      <c r="E11" s="32">
        <v>0</v>
      </c>
      <c r="F11" s="32">
        <f>325+575+375+145</f>
        <v>1420</v>
      </c>
      <c r="G11" s="32">
        <f>475+325+575</f>
        <v>1375</v>
      </c>
      <c r="H11" s="32">
        <f>375+375</f>
        <v>750</v>
      </c>
      <c r="I11" s="32">
        <f>SUM(375+375+475)</f>
        <v>1225</v>
      </c>
      <c r="J11" s="32">
        <f>325+325+300</f>
        <v>950</v>
      </c>
      <c r="K11" s="32">
        <v>0</v>
      </c>
      <c r="L11" s="32">
        <f>275+225</f>
        <v>500</v>
      </c>
      <c r="M11" s="32">
        <f>350+275+475</f>
        <v>1100</v>
      </c>
      <c r="N11" s="32">
        <f>375+475</f>
        <v>850</v>
      </c>
      <c r="O11" s="32">
        <v>350</v>
      </c>
    </row>
    <row r="12" spans="1:15" ht="15" customHeight="1" x14ac:dyDescent="0.2">
      <c r="A12" s="31">
        <v>5</v>
      </c>
      <c r="B12" s="31" t="s">
        <v>54</v>
      </c>
      <c r="C12" s="33">
        <f t="shared" si="0"/>
        <v>7875</v>
      </c>
      <c r="D12" s="32">
        <v>175</v>
      </c>
      <c r="E12" s="32">
        <f>350</f>
        <v>350</v>
      </c>
      <c r="F12" s="32">
        <f>425</f>
        <v>425</v>
      </c>
      <c r="G12" s="32">
        <f>350+375</f>
        <v>725</v>
      </c>
      <c r="H12" s="32">
        <f>350+325</f>
        <v>675</v>
      </c>
      <c r="I12" s="32">
        <v>375</v>
      </c>
      <c r="J12" s="32">
        <v>375</v>
      </c>
      <c r="K12" s="32">
        <f>325+325+350</f>
        <v>1000</v>
      </c>
      <c r="L12" s="32">
        <f>250+350+425</f>
        <v>1025</v>
      </c>
      <c r="M12" s="32">
        <f>425+375+300</f>
        <v>1100</v>
      </c>
      <c r="N12" s="32">
        <f>575+425+325</f>
        <v>1325</v>
      </c>
      <c r="O12" s="32">
        <f>325</f>
        <v>325</v>
      </c>
    </row>
    <row r="13" spans="1:15" ht="15" customHeight="1" x14ac:dyDescent="0.2">
      <c r="A13" s="31">
        <v>6</v>
      </c>
      <c r="B13" s="31" t="s">
        <v>24</v>
      </c>
      <c r="C13" s="33">
        <f t="shared" si="0"/>
        <v>7550</v>
      </c>
      <c r="D13" s="32">
        <v>0</v>
      </c>
      <c r="E13" s="32">
        <f>350</f>
        <v>350</v>
      </c>
      <c r="F13" s="32">
        <f>475+325+300</f>
        <v>1100</v>
      </c>
      <c r="G13" s="32">
        <f>325+300+250+325</f>
        <v>1200</v>
      </c>
      <c r="H13" s="32">
        <f>275+225</f>
        <v>500</v>
      </c>
      <c r="I13" s="32">
        <f>SUM(575+275+475+325)</f>
        <v>1650</v>
      </c>
      <c r="J13" s="32">
        <f>375+350+475</f>
        <v>1200</v>
      </c>
      <c r="K13" s="32">
        <f>425+275+115</f>
        <v>815</v>
      </c>
      <c r="L13" s="32">
        <f>575</f>
        <v>575</v>
      </c>
      <c r="M13" s="32">
        <v>160</v>
      </c>
      <c r="N13" s="32">
        <v>0</v>
      </c>
      <c r="O13" s="32">
        <v>0</v>
      </c>
    </row>
    <row r="14" spans="1:15" ht="15" customHeight="1" x14ac:dyDescent="0.2">
      <c r="A14" s="31">
        <v>7</v>
      </c>
      <c r="B14" s="31" t="s">
        <v>232</v>
      </c>
      <c r="C14" s="33">
        <f t="shared" si="0"/>
        <v>7170</v>
      </c>
      <c r="D14" s="32">
        <v>325</v>
      </c>
      <c r="E14" s="32">
        <f>575</f>
        <v>575</v>
      </c>
      <c r="F14" s="32">
        <v>0</v>
      </c>
      <c r="G14" s="32">
        <f>375+350</f>
        <v>725</v>
      </c>
      <c r="H14" s="32">
        <f>175</f>
        <v>175</v>
      </c>
      <c r="I14" s="32">
        <f>SUM(175+250+250)</f>
        <v>675</v>
      </c>
      <c r="J14" s="32">
        <f>575+425+175+575</f>
        <v>1750</v>
      </c>
      <c r="K14" s="32">
        <f>250+160</f>
        <v>410</v>
      </c>
      <c r="L14" s="32">
        <f>160+300+250</f>
        <v>710</v>
      </c>
      <c r="M14" s="32">
        <f>375+175+250</f>
        <v>800</v>
      </c>
      <c r="N14" s="32">
        <f>325+475+225</f>
        <v>1025</v>
      </c>
      <c r="O14" s="32">
        <v>0</v>
      </c>
    </row>
    <row r="15" spans="1:15" ht="15" customHeight="1" x14ac:dyDescent="0.2">
      <c r="A15" s="31">
        <v>8</v>
      </c>
      <c r="B15" s="31" t="s">
        <v>274</v>
      </c>
      <c r="C15" s="33">
        <f t="shared" si="0"/>
        <v>6195</v>
      </c>
      <c r="D15" s="32">
        <v>145</v>
      </c>
      <c r="E15" s="32">
        <v>0</v>
      </c>
      <c r="F15" s="32">
        <v>0</v>
      </c>
      <c r="G15" s="32">
        <f>175+200+145+575</f>
        <v>1095</v>
      </c>
      <c r="H15" s="32">
        <f>575+275+200</f>
        <v>1050</v>
      </c>
      <c r="I15" s="32">
        <f>SUM(200+175)</f>
        <v>375</v>
      </c>
      <c r="J15" s="32">
        <f>300+475+425</f>
        <v>1200</v>
      </c>
      <c r="K15" s="32">
        <v>200</v>
      </c>
      <c r="L15" s="32">
        <f>300</f>
        <v>300</v>
      </c>
      <c r="M15" s="32">
        <f>200+375+130</f>
        <v>705</v>
      </c>
      <c r="N15" s="32">
        <f>300+300+275</f>
        <v>875</v>
      </c>
      <c r="O15" s="32">
        <v>250</v>
      </c>
    </row>
    <row r="16" spans="1:15" ht="15" customHeight="1" x14ac:dyDescent="0.2">
      <c r="A16" s="31">
        <v>9</v>
      </c>
      <c r="B16" s="31" t="s">
        <v>60</v>
      </c>
      <c r="C16" s="33">
        <f t="shared" si="0"/>
        <v>5640</v>
      </c>
      <c r="D16" s="32">
        <v>130</v>
      </c>
      <c r="E16" s="32">
        <f>175</f>
        <v>175</v>
      </c>
      <c r="F16" s="32">
        <f>225</f>
        <v>225</v>
      </c>
      <c r="G16" s="32">
        <f>425+225</f>
        <v>650</v>
      </c>
      <c r="H16" s="32">
        <f>300+475</f>
        <v>775</v>
      </c>
      <c r="I16" s="32">
        <v>350</v>
      </c>
      <c r="J16" s="32">
        <v>425</v>
      </c>
      <c r="K16" s="32">
        <f>575+145+250</f>
        <v>970</v>
      </c>
      <c r="L16" s="32">
        <f>130</f>
        <v>130</v>
      </c>
      <c r="M16" s="32">
        <f>160+475</f>
        <v>635</v>
      </c>
      <c r="N16" s="32">
        <v>325</v>
      </c>
      <c r="O16" s="32">
        <f>475+375</f>
        <v>850</v>
      </c>
    </row>
    <row r="17" spans="1:15" ht="15" customHeight="1" x14ac:dyDescent="0.2">
      <c r="A17" s="31">
        <v>10</v>
      </c>
      <c r="B17" s="31" t="s">
        <v>221</v>
      </c>
      <c r="C17" s="33">
        <f t="shared" si="0"/>
        <v>5570</v>
      </c>
      <c r="D17" s="32">
        <v>0</v>
      </c>
      <c r="E17" s="32">
        <v>0</v>
      </c>
      <c r="F17" s="32">
        <v>0</v>
      </c>
      <c r="G17" s="32">
        <f>115</f>
        <v>115</v>
      </c>
      <c r="H17" s="32">
        <f>325+425+575+425</f>
        <v>1750</v>
      </c>
      <c r="I17" s="32">
        <f>SUM(325+130+350+325+225)</f>
        <v>1355</v>
      </c>
      <c r="J17" s="32">
        <f>275+425</f>
        <v>700</v>
      </c>
      <c r="K17" s="32">
        <f>175+200</f>
        <v>375</v>
      </c>
      <c r="L17" s="32">
        <v>0</v>
      </c>
      <c r="M17" s="32">
        <f>275+275</f>
        <v>550</v>
      </c>
      <c r="N17" s="32">
        <f>425+300</f>
        <v>725</v>
      </c>
      <c r="O17" s="32">
        <v>0</v>
      </c>
    </row>
    <row r="18" spans="1:15" ht="15" customHeight="1" x14ac:dyDescent="0.2">
      <c r="A18" s="31">
        <v>11</v>
      </c>
      <c r="B18" s="31" t="s">
        <v>154</v>
      </c>
      <c r="C18" s="32">
        <f t="shared" si="0"/>
        <v>5475</v>
      </c>
      <c r="D18" s="32">
        <v>0</v>
      </c>
      <c r="E18" s="32">
        <f>300</f>
        <v>300</v>
      </c>
      <c r="F18" s="32">
        <f>350+160</f>
        <v>510</v>
      </c>
      <c r="G18" s="32">
        <f>350</f>
        <v>350</v>
      </c>
      <c r="H18" s="32">
        <f>300+575</f>
        <v>875</v>
      </c>
      <c r="I18" s="32">
        <f>SUM(350+275+300)</f>
        <v>925</v>
      </c>
      <c r="J18" s="32">
        <f>375+425+275+115</f>
        <v>1190</v>
      </c>
      <c r="K18" s="32">
        <v>350</v>
      </c>
      <c r="L18" s="32">
        <f>250+350+375</f>
        <v>975</v>
      </c>
      <c r="M18" s="32">
        <v>0</v>
      </c>
      <c r="N18" s="32">
        <v>0</v>
      </c>
      <c r="O18" s="32">
        <v>0</v>
      </c>
    </row>
    <row r="19" spans="1:15" ht="15" customHeight="1" x14ac:dyDescent="0.2">
      <c r="A19" s="31">
        <v>12</v>
      </c>
      <c r="B19" s="31" t="s">
        <v>287</v>
      </c>
      <c r="C19" s="32">
        <f t="shared" si="0"/>
        <v>5300</v>
      </c>
      <c r="D19" s="32">
        <v>0</v>
      </c>
      <c r="E19" s="32">
        <f>225</f>
        <v>225</v>
      </c>
      <c r="F19" s="32">
        <f>160+375</f>
        <v>535</v>
      </c>
      <c r="G19" s="32">
        <f>200+130</f>
        <v>330</v>
      </c>
      <c r="H19" s="32">
        <f>175+350+350+475+250</f>
        <v>1600</v>
      </c>
      <c r="I19" s="32">
        <f>SUM(325+145)</f>
        <v>470</v>
      </c>
      <c r="J19" s="32">
        <f>145+475+115</f>
        <v>735</v>
      </c>
      <c r="K19" s="32">
        <v>130</v>
      </c>
      <c r="L19" s="32">
        <v>0</v>
      </c>
      <c r="M19" s="32">
        <f>250+325</f>
        <v>575</v>
      </c>
      <c r="N19" s="32">
        <f>115+160+250</f>
        <v>525</v>
      </c>
      <c r="O19" s="32">
        <v>175</v>
      </c>
    </row>
    <row r="20" spans="1:15" ht="15" customHeight="1" x14ac:dyDescent="0.2">
      <c r="A20" s="31">
        <v>13</v>
      </c>
      <c r="B20" s="31" t="s">
        <v>323</v>
      </c>
      <c r="C20" s="32">
        <f t="shared" si="0"/>
        <v>5165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f>SUM(425+575+425)</f>
        <v>1425</v>
      </c>
      <c r="J20" s="32">
        <f>325+145</f>
        <v>470</v>
      </c>
      <c r="K20" s="32">
        <f>300+475+225+225+375</f>
        <v>1600</v>
      </c>
      <c r="L20" s="32">
        <f>375+130+325</f>
        <v>830</v>
      </c>
      <c r="M20" s="32">
        <f>145+250</f>
        <v>395</v>
      </c>
      <c r="N20" s="32">
        <v>145</v>
      </c>
      <c r="O20" s="32">
        <v>300</v>
      </c>
    </row>
    <row r="21" spans="1:15" ht="15" customHeight="1" x14ac:dyDescent="0.2">
      <c r="A21" s="31">
        <v>14</v>
      </c>
      <c r="B21" s="31" t="s">
        <v>290</v>
      </c>
      <c r="C21" s="32">
        <f t="shared" si="0"/>
        <v>4750</v>
      </c>
      <c r="D21" s="32">
        <v>0</v>
      </c>
      <c r="E21" s="32">
        <v>0</v>
      </c>
      <c r="F21" s="32">
        <f>200+325</f>
        <v>525</v>
      </c>
      <c r="G21" s="32">
        <f>250</f>
        <v>250</v>
      </c>
      <c r="H21" s="32">
        <f>250+175+575</f>
        <v>1000</v>
      </c>
      <c r="I21" s="32">
        <f>SUM(475+115)</f>
        <v>590</v>
      </c>
      <c r="J21" s="32">
        <v>175</v>
      </c>
      <c r="K21" s="32">
        <f>425+200+160</f>
        <v>785</v>
      </c>
      <c r="L21" s="32">
        <v>0</v>
      </c>
      <c r="M21" s="32">
        <f>325</f>
        <v>325</v>
      </c>
      <c r="N21" s="32">
        <v>475</v>
      </c>
      <c r="O21" s="32">
        <f>300+325</f>
        <v>625</v>
      </c>
    </row>
    <row r="22" spans="1:15" ht="15" customHeight="1" x14ac:dyDescent="0.2">
      <c r="A22" s="31">
        <v>15</v>
      </c>
      <c r="B22" s="31" t="s">
        <v>23</v>
      </c>
      <c r="C22" s="32">
        <f t="shared" si="0"/>
        <v>4650</v>
      </c>
      <c r="D22" s="32">
        <v>160</v>
      </c>
      <c r="E22" s="32">
        <f>475</f>
        <v>475</v>
      </c>
      <c r="F22" s="32">
        <f>275+325</f>
        <v>600</v>
      </c>
      <c r="G22" s="32">
        <f>375</f>
        <v>375</v>
      </c>
      <c r="H22" s="32">
        <f>325</f>
        <v>325</v>
      </c>
      <c r="I22" s="32">
        <f>SUM(425+425+175)</f>
        <v>1025</v>
      </c>
      <c r="J22" s="32">
        <v>0</v>
      </c>
      <c r="K22" s="32">
        <v>115</v>
      </c>
      <c r="L22" s="32">
        <f>225+225</f>
        <v>450</v>
      </c>
      <c r="M22" s="32">
        <v>175</v>
      </c>
      <c r="N22" s="32">
        <f>275+325</f>
        <v>600</v>
      </c>
      <c r="O22" s="32">
        <f>350</f>
        <v>350</v>
      </c>
    </row>
    <row r="23" spans="1:15" ht="15" customHeight="1" x14ac:dyDescent="0.2">
      <c r="A23" s="31">
        <v>16</v>
      </c>
      <c r="B23" s="31" t="s">
        <v>264</v>
      </c>
      <c r="C23" s="32">
        <f t="shared" si="0"/>
        <v>4625</v>
      </c>
      <c r="D23" s="32">
        <v>0</v>
      </c>
      <c r="E23" s="32">
        <v>0</v>
      </c>
      <c r="F23" s="32">
        <f>425</f>
        <v>425</v>
      </c>
      <c r="G23" s="32">
        <f>275</f>
        <v>275</v>
      </c>
      <c r="H23" s="32">
        <f>425</f>
        <v>425</v>
      </c>
      <c r="I23" s="32">
        <f>SUM(300+325)</f>
        <v>625</v>
      </c>
      <c r="J23" s="32">
        <v>475</v>
      </c>
      <c r="K23" s="32">
        <v>300</v>
      </c>
      <c r="L23" s="32">
        <f>300</f>
        <v>300</v>
      </c>
      <c r="M23" s="32">
        <f>425+350</f>
        <v>775</v>
      </c>
      <c r="N23" s="32">
        <f>425+175</f>
        <v>600</v>
      </c>
      <c r="O23" s="32">
        <v>425</v>
      </c>
    </row>
    <row r="24" spans="1:15" ht="15" customHeight="1" x14ac:dyDescent="0.2">
      <c r="A24" s="31">
        <v>17</v>
      </c>
      <c r="B24" s="31" t="s">
        <v>255</v>
      </c>
      <c r="C24" s="32">
        <f t="shared" si="0"/>
        <v>4540</v>
      </c>
      <c r="D24" s="32">
        <v>0</v>
      </c>
      <c r="E24" s="32">
        <v>0</v>
      </c>
      <c r="F24" s="32">
        <f>425</f>
        <v>425</v>
      </c>
      <c r="G24" s="32">
        <f>350+475+160</f>
        <v>985</v>
      </c>
      <c r="H24" s="32">
        <v>0</v>
      </c>
      <c r="I24" s="32">
        <f>SUM(225+475+350)</f>
        <v>1050</v>
      </c>
      <c r="J24" s="32">
        <v>575</v>
      </c>
      <c r="K24" s="32">
        <f>375+425</f>
        <v>800</v>
      </c>
      <c r="L24" s="32">
        <v>0</v>
      </c>
      <c r="M24" s="32">
        <f>350+225</f>
        <v>575</v>
      </c>
      <c r="N24" s="32">
        <v>130</v>
      </c>
      <c r="O24" s="32">
        <v>0</v>
      </c>
    </row>
    <row r="25" spans="1:15" ht="15" customHeight="1" x14ac:dyDescent="0.2">
      <c r="A25" s="31">
        <v>18</v>
      </c>
      <c r="B25" s="31" t="s">
        <v>214</v>
      </c>
      <c r="C25" s="32">
        <f t="shared" si="0"/>
        <v>4300</v>
      </c>
      <c r="D25" s="32">
        <v>375</v>
      </c>
      <c r="E25" s="32">
        <f>375</f>
        <v>375</v>
      </c>
      <c r="F25" s="32">
        <f>275</f>
        <v>275</v>
      </c>
      <c r="G25" s="32">
        <f>275</f>
        <v>275</v>
      </c>
      <c r="H25" s="32">
        <f>325+475</f>
        <v>800</v>
      </c>
      <c r="I25" s="32">
        <f>SUM(275+160)</f>
        <v>435</v>
      </c>
      <c r="J25" s="32">
        <f>375+175</f>
        <v>550</v>
      </c>
      <c r="K25" s="32">
        <f>325+575</f>
        <v>900</v>
      </c>
      <c r="L25" s="32">
        <f>115+200</f>
        <v>315</v>
      </c>
      <c r="M25" s="32">
        <v>0</v>
      </c>
      <c r="N25" s="32">
        <v>0</v>
      </c>
      <c r="O25" s="32">
        <v>0</v>
      </c>
    </row>
    <row r="26" spans="1:15" ht="15" customHeight="1" x14ac:dyDescent="0.2">
      <c r="A26" s="31">
        <v>19</v>
      </c>
      <c r="B26" s="31" t="s">
        <v>27</v>
      </c>
      <c r="C26" s="32">
        <f t="shared" si="0"/>
        <v>4295</v>
      </c>
      <c r="D26" s="32">
        <v>300</v>
      </c>
      <c r="E26" s="32">
        <f>275</f>
        <v>275</v>
      </c>
      <c r="F26" s="32">
        <f>425+225</f>
        <v>650</v>
      </c>
      <c r="G26" s="32">
        <f>250+250</f>
        <v>500</v>
      </c>
      <c r="H26" s="32">
        <f>575+300</f>
        <v>875</v>
      </c>
      <c r="I26" s="32">
        <f>SUM(200+275+325)</f>
        <v>800</v>
      </c>
      <c r="J26" s="32">
        <v>250</v>
      </c>
      <c r="K26" s="32">
        <v>145</v>
      </c>
      <c r="L26" s="32">
        <f>225</f>
        <v>225</v>
      </c>
      <c r="M26" s="32">
        <v>0</v>
      </c>
      <c r="N26" s="32">
        <v>0</v>
      </c>
      <c r="O26" s="32">
        <f>275</f>
        <v>275</v>
      </c>
    </row>
    <row r="27" spans="1:15" ht="15" customHeight="1" x14ac:dyDescent="0.2">
      <c r="A27" s="31">
        <v>20</v>
      </c>
      <c r="B27" s="31" t="s">
        <v>190</v>
      </c>
      <c r="C27" s="32">
        <f t="shared" si="0"/>
        <v>4185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f>225+160+475+300</f>
        <v>1160</v>
      </c>
      <c r="L27" s="32">
        <f>115+145+325+115</f>
        <v>700</v>
      </c>
      <c r="M27" s="32">
        <f>175+175+475</f>
        <v>825</v>
      </c>
      <c r="N27" s="32">
        <f>350+575</f>
        <v>925</v>
      </c>
      <c r="O27" s="32">
        <f>575</f>
        <v>575</v>
      </c>
    </row>
    <row r="28" spans="1:15" ht="15" customHeight="1" x14ac:dyDescent="0.2">
      <c r="A28" s="31">
        <v>21</v>
      </c>
      <c r="B28" s="31" t="s">
        <v>198</v>
      </c>
      <c r="C28" s="32">
        <f t="shared" si="0"/>
        <v>4090</v>
      </c>
      <c r="D28" s="32">
        <v>475</v>
      </c>
      <c r="E28" s="32">
        <v>0</v>
      </c>
      <c r="F28" s="32">
        <f>200</f>
        <v>200</v>
      </c>
      <c r="G28" s="32">
        <f>425+300</f>
        <v>725</v>
      </c>
      <c r="H28" s="32">
        <v>0</v>
      </c>
      <c r="I28" s="32">
        <v>575</v>
      </c>
      <c r="J28" s="32">
        <v>475</v>
      </c>
      <c r="K28" s="32">
        <v>0</v>
      </c>
      <c r="L28" s="32">
        <f>375</f>
        <v>375</v>
      </c>
      <c r="M28" s="32">
        <f>475+300+115</f>
        <v>890</v>
      </c>
      <c r="N28" s="32">
        <v>375</v>
      </c>
      <c r="O28" s="32">
        <v>0</v>
      </c>
    </row>
    <row r="29" spans="1:15" ht="15" customHeight="1" x14ac:dyDescent="0.2">
      <c r="A29" s="31">
        <v>22</v>
      </c>
      <c r="B29" s="31" t="s">
        <v>307</v>
      </c>
      <c r="C29" s="32">
        <f t="shared" si="0"/>
        <v>4035</v>
      </c>
      <c r="D29" s="32">
        <v>0</v>
      </c>
      <c r="E29" s="32">
        <v>0</v>
      </c>
      <c r="F29" s="32">
        <f>175</f>
        <v>175</v>
      </c>
      <c r="G29" s="32">
        <f>325</f>
        <v>325</v>
      </c>
      <c r="H29" s="32">
        <v>0</v>
      </c>
      <c r="I29" s="32">
        <f>SUM(475+115+350)</f>
        <v>940</v>
      </c>
      <c r="J29" s="32">
        <f>300+200</f>
        <v>500</v>
      </c>
      <c r="K29" s="32">
        <f>375+175</f>
        <v>550</v>
      </c>
      <c r="L29" s="32">
        <v>0</v>
      </c>
      <c r="M29" s="32">
        <f>575</f>
        <v>575</v>
      </c>
      <c r="N29" s="32">
        <f>250+145</f>
        <v>395</v>
      </c>
      <c r="O29" s="32">
        <f>575</f>
        <v>575</v>
      </c>
    </row>
    <row r="30" spans="1:15" ht="15" customHeight="1" x14ac:dyDescent="0.2">
      <c r="A30" s="31">
        <v>23</v>
      </c>
      <c r="B30" s="31" t="s">
        <v>336</v>
      </c>
      <c r="C30" s="32">
        <f>SUM(J30:O30)</f>
        <v>3810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300</v>
      </c>
      <c r="K30" s="32">
        <f>145+350+325</f>
        <v>820</v>
      </c>
      <c r="L30" s="32">
        <v>0</v>
      </c>
      <c r="M30" s="32">
        <f>200+575</f>
        <v>775</v>
      </c>
      <c r="N30" s="32">
        <f>175+575+115+575</f>
        <v>1440</v>
      </c>
      <c r="O30" s="32">
        <v>475</v>
      </c>
    </row>
    <row r="31" spans="1:15" ht="15" customHeight="1" x14ac:dyDescent="0.2">
      <c r="A31" s="31">
        <v>24</v>
      </c>
      <c r="B31" s="31" t="s">
        <v>325</v>
      </c>
      <c r="C31" s="32">
        <f t="shared" ref="C31:C70" si="1">SUM(D31:O31)</f>
        <v>3745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250</v>
      </c>
      <c r="J31" s="32">
        <f>275+350+225+275</f>
        <v>1125</v>
      </c>
      <c r="K31" s="32">
        <f>145+475</f>
        <v>620</v>
      </c>
      <c r="L31" s="32">
        <f>350+145</f>
        <v>495</v>
      </c>
      <c r="M31" s="32">
        <f>325</f>
        <v>325</v>
      </c>
      <c r="N31" s="32">
        <f>375+425</f>
        <v>800</v>
      </c>
      <c r="O31" s="32">
        <v>130</v>
      </c>
    </row>
    <row r="32" spans="1:15" ht="15" customHeight="1" x14ac:dyDescent="0.2">
      <c r="A32" s="31">
        <v>25</v>
      </c>
      <c r="B32" s="31" t="s">
        <v>271</v>
      </c>
      <c r="C32" s="32">
        <f t="shared" si="1"/>
        <v>3675</v>
      </c>
      <c r="D32" s="32">
        <v>0</v>
      </c>
      <c r="E32" s="32">
        <f>160</f>
        <v>160</v>
      </c>
      <c r="F32" s="32">
        <f>475</f>
        <v>475</v>
      </c>
      <c r="G32" s="32">
        <f>200</f>
        <v>200</v>
      </c>
      <c r="H32" s="32">
        <v>0</v>
      </c>
      <c r="I32" s="32">
        <f>SUM(145+145+375)</f>
        <v>665</v>
      </c>
      <c r="J32" s="32">
        <f>225+145</f>
        <v>370</v>
      </c>
      <c r="K32" s="32">
        <v>375</v>
      </c>
      <c r="L32" s="32">
        <f>475</f>
        <v>475</v>
      </c>
      <c r="M32" s="32">
        <f>130</f>
        <v>130</v>
      </c>
      <c r="N32" s="32">
        <f>225+250+350</f>
        <v>825</v>
      </c>
      <c r="O32" s="32">
        <v>0</v>
      </c>
    </row>
    <row r="33" spans="1:15" ht="15" customHeight="1" x14ac:dyDescent="0.2">
      <c r="A33" s="31">
        <v>26</v>
      </c>
      <c r="B33" s="31" t="s">
        <v>318</v>
      </c>
      <c r="C33" s="32">
        <f t="shared" si="1"/>
        <v>3525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250</v>
      </c>
      <c r="J33" s="32">
        <f>350+200+300+350+130</f>
        <v>1330</v>
      </c>
      <c r="K33" s="32">
        <f>160+275+160</f>
        <v>595</v>
      </c>
      <c r="L33" s="32">
        <f>175</f>
        <v>175</v>
      </c>
      <c r="M33" s="32">
        <f>350+325</f>
        <v>675</v>
      </c>
      <c r="N33" s="32">
        <f>250+250</f>
        <v>500</v>
      </c>
      <c r="O33" s="32">
        <v>0</v>
      </c>
    </row>
    <row r="34" spans="1:15" ht="15" customHeight="1" x14ac:dyDescent="0.2">
      <c r="A34" s="31">
        <v>27</v>
      </c>
      <c r="B34" s="31" t="s">
        <v>308</v>
      </c>
      <c r="C34" s="32">
        <f t="shared" si="1"/>
        <v>3495</v>
      </c>
      <c r="D34" s="32">
        <v>0</v>
      </c>
      <c r="E34" s="32">
        <v>0</v>
      </c>
      <c r="F34" s="32">
        <f>130</f>
        <v>130</v>
      </c>
      <c r="G34" s="32">
        <f>160</f>
        <v>160</v>
      </c>
      <c r="H34" s="32">
        <v>0</v>
      </c>
      <c r="I34" s="32">
        <f>SUM(300+225)</f>
        <v>525</v>
      </c>
      <c r="J34" s="32">
        <v>250</v>
      </c>
      <c r="K34" s="32">
        <f>475+130+350</f>
        <v>955</v>
      </c>
      <c r="L34" s="32">
        <f>175</f>
        <v>175</v>
      </c>
      <c r="M34" s="32">
        <f>300+375</f>
        <v>675</v>
      </c>
      <c r="N34" s="32">
        <v>425</v>
      </c>
      <c r="O34" s="32">
        <v>200</v>
      </c>
    </row>
    <row r="35" spans="1:15" ht="15" customHeight="1" x14ac:dyDescent="0.2">
      <c r="A35" s="31">
        <v>28</v>
      </c>
      <c r="B35" s="31" t="s">
        <v>233</v>
      </c>
      <c r="C35" s="32">
        <f t="shared" si="1"/>
        <v>3410</v>
      </c>
      <c r="D35" s="32">
        <v>250</v>
      </c>
      <c r="E35" s="32">
        <v>0</v>
      </c>
      <c r="F35" s="32">
        <v>0</v>
      </c>
      <c r="G35" s="32">
        <f>300+300</f>
        <v>600</v>
      </c>
      <c r="H35" s="32">
        <f>160</f>
        <v>160</v>
      </c>
      <c r="I35" s="32">
        <v>200</v>
      </c>
      <c r="J35" s="32">
        <f>175+225</f>
        <v>400</v>
      </c>
      <c r="K35" s="32">
        <f>350+300</f>
        <v>650</v>
      </c>
      <c r="L35" s="32">
        <f>325+250</f>
        <v>575</v>
      </c>
      <c r="M35" s="32">
        <f>575</f>
        <v>575</v>
      </c>
      <c r="N35" s="32">
        <v>0</v>
      </c>
      <c r="O35" s="32">
        <v>0</v>
      </c>
    </row>
    <row r="36" spans="1:15" ht="15" customHeight="1" x14ac:dyDescent="0.2">
      <c r="A36" s="31">
        <v>29</v>
      </c>
      <c r="B36" s="31" t="s">
        <v>313</v>
      </c>
      <c r="C36" s="32">
        <f t="shared" si="1"/>
        <v>2960</v>
      </c>
      <c r="D36" s="32">
        <v>0</v>
      </c>
      <c r="E36" s="32">
        <v>0</v>
      </c>
      <c r="F36" s="32">
        <v>0</v>
      </c>
      <c r="G36" s="32">
        <v>225</v>
      </c>
      <c r="H36" s="32">
        <f>160+200+250</f>
        <v>610</v>
      </c>
      <c r="I36" s="32">
        <f>SUM(160+575)</f>
        <v>735</v>
      </c>
      <c r="J36" s="32">
        <v>160</v>
      </c>
      <c r="K36" s="32">
        <v>300</v>
      </c>
      <c r="L36" s="32">
        <v>0</v>
      </c>
      <c r="M36" s="32">
        <f>130+225+575</f>
        <v>930</v>
      </c>
      <c r="N36" s="32">
        <v>0</v>
      </c>
      <c r="O36" s="32">
        <v>0</v>
      </c>
    </row>
    <row r="37" spans="1:15" ht="15" customHeight="1" x14ac:dyDescent="0.2">
      <c r="A37" s="31">
        <v>30</v>
      </c>
      <c r="B37" s="31" t="s">
        <v>326</v>
      </c>
      <c r="C37" s="32">
        <f t="shared" si="1"/>
        <v>2955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475</v>
      </c>
      <c r="J37" s="32">
        <f>160+325+200</f>
        <v>685</v>
      </c>
      <c r="K37" s="32">
        <v>0</v>
      </c>
      <c r="L37" s="32">
        <f>275+200+475</f>
        <v>950</v>
      </c>
      <c r="M37" s="32">
        <f>145</f>
        <v>145</v>
      </c>
      <c r="N37" s="32">
        <v>475</v>
      </c>
      <c r="O37" s="32">
        <v>225</v>
      </c>
    </row>
    <row r="38" spans="1:15" ht="15" customHeight="1" x14ac:dyDescent="0.2">
      <c r="A38" s="31">
        <v>31</v>
      </c>
      <c r="B38" s="31" t="s">
        <v>319</v>
      </c>
      <c r="C38" s="32">
        <f t="shared" si="1"/>
        <v>2870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f>SUM(425+350)</f>
        <v>775</v>
      </c>
      <c r="J38" s="32">
        <v>0</v>
      </c>
      <c r="K38" s="32">
        <f>115+130</f>
        <v>245</v>
      </c>
      <c r="L38" s="32">
        <f>475+145+350</f>
        <v>970</v>
      </c>
      <c r="M38" s="32">
        <v>145</v>
      </c>
      <c r="N38" s="32">
        <f>575+160</f>
        <v>735</v>
      </c>
      <c r="O38" s="32">
        <v>0</v>
      </c>
    </row>
    <row r="39" spans="1:15" ht="15" customHeight="1" x14ac:dyDescent="0.2">
      <c r="A39" s="31">
        <v>32</v>
      </c>
      <c r="B39" s="31" t="s">
        <v>165</v>
      </c>
      <c r="C39" s="32">
        <f t="shared" si="1"/>
        <v>2850</v>
      </c>
      <c r="D39" s="32">
        <v>0</v>
      </c>
      <c r="E39" s="32">
        <v>0</v>
      </c>
      <c r="F39" s="32">
        <f>300</f>
        <v>300</v>
      </c>
      <c r="G39" s="32">
        <v>0</v>
      </c>
      <c r="H39" s="32">
        <f>425+300</f>
        <v>725</v>
      </c>
      <c r="I39" s="32">
        <f>SUM(250+225)</f>
        <v>475</v>
      </c>
      <c r="J39" s="32">
        <f>575+375+225</f>
        <v>1175</v>
      </c>
      <c r="K39" s="32">
        <v>175</v>
      </c>
      <c r="L39" s="32">
        <v>0</v>
      </c>
      <c r="M39" s="32">
        <v>0</v>
      </c>
      <c r="N39" s="32">
        <v>0</v>
      </c>
      <c r="O39" s="32">
        <v>0</v>
      </c>
    </row>
    <row r="40" spans="1:15" ht="15" customHeight="1" x14ac:dyDescent="0.2">
      <c r="A40" s="34">
        <v>33</v>
      </c>
      <c r="B40" s="34" t="s">
        <v>138</v>
      </c>
      <c r="C40" s="35">
        <f t="shared" si="1"/>
        <v>2075</v>
      </c>
      <c r="D40" s="35">
        <v>225</v>
      </c>
      <c r="E40" s="35">
        <v>0</v>
      </c>
      <c r="F40" s="35">
        <f>475</f>
        <v>475</v>
      </c>
      <c r="G40" s="35">
        <f>225+275+200</f>
        <v>700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f>250+425</f>
        <v>675</v>
      </c>
      <c r="N40" s="35">
        <v>0</v>
      </c>
      <c r="O40" s="35">
        <v>0</v>
      </c>
    </row>
    <row r="41" spans="1:15" ht="15" customHeight="1" x14ac:dyDescent="0.2">
      <c r="A41" s="34">
        <v>34</v>
      </c>
      <c r="B41" s="34" t="s">
        <v>254</v>
      </c>
      <c r="C41" s="35">
        <f t="shared" si="1"/>
        <v>1875</v>
      </c>
      <c r="D41" s="35">
        <v>115</v>
      </c>
      <c r="E41" s="35">
        <v>0</v>
      </c>
      <c r="F41" s="35">
        <f>575</f>
        <v>575</v>
      </c>
      <c r="G41" s="35">
        <f>175</f>
        <v>175</v>
      </c>
      <c r="H41" s="35">
        <v>0</v>
      </c>
      <c r="I41" s="35">
        <v>0</v>
      </c>
      <c r="J41" s="35">
        <v>575</v>
      </c>
      <c r="K41" s="35">
        <v>0</v>
      </c>
      <c r="L41" s="35">
        <f>160</f>
        <v>160</v>
      </c>
      <c r="M41" s="35">
        <v>0</v>
      </c>
      <c r="N41" s="35">
        <v>275</v>
      </c>
      <c r="O41" s="35">
        <v>0</v>
      </c>
    </row>
    <row r="42" spans="1:15" ht="15" customHeight="1" x14ac:dyDescent="0.2">
      <c r="A42" s="34">
        <v>35</v>
      </c>
      <c r="B42" s="34" t="s">
        <v>315</v>
      </c>
      <c r="C42" s="35">
        <f t="shared" si="1"/>
        <v>1655</v>
      </c>
      <c r="D42" s="35">
        <v>0</v>
      </c>
      <c r="E42" s="35">
        <v>0</v>
      </c>
      <c r="F42" s="35">
        <v>0</v>
      </c>
      <c r="G42" s="35">
        <f>425</f>
        <v>425</v>
      </c>
      <c r="H42" s="35">
        <f>250+275</f>
        <v>525</v>
      </c>
      <c r="I42" s="35">
        <v>130</v>
      </c>
      <c r="J42" s="35">
        <v>0</v>
      </c>
      <c r="K42" s="35">
        <v>575</v>
      </c>
      <c r="L42" s="35">
        <v>0</v>
      </c>
      <c r="M42" s="35">
        <v>0</v>
      </c>
      <c r="N42" s="35">
        <v>0</v>
      </c>
      <c r="O42" s="35">
        <v>0</v>
      </c>
    </row>
    <row r="43" spans="1:15" ht="15" customHeight="1" x14ac:dyDescent="0.2">
      <c r="A43" s="34">
        <v>36</v>
      </c>
      <c r="B43" s="34" t="s">
        <v>316</v>
      </c>
      <c r="C43" s="35">
        <f t="shared" si="1"/>
        <v>1635</v>
      </c>
      <c r="D43" s="35">
        <v>0</v>
      </c>
      <c r="E43" s="35">
        <v>0</v>
      </c>
      <c r="F43" s="35">
        <v>0</v>
      </c>
      <c r="G43" s="35">
        <v>0</v>
      </c>
      <c r="H43" s="35">
        <f>225</f>
        <v>225</v>
      </c>
      <c r="I43" s="35">
        <f>SUM(160+145)</f>
        <v>305</v>
      </c>
      <c r="J43" s="35">
        <v>130</v>
      </c>
      <c r="K43" s="35">
        <v>275</v>
      </c>
      <c r="L43" s="35">
        <v>0</v>
      </c>
      <c r="M43" s="35">
        <f>115+160</f>
        <v>275</v>
      </c>
      <c r="N43" s="35">
        <f>225+200</f>
        <v>425</v>
      </c>
      <c r="O43" s="35">
        <v>0</v>
      </c>
    </row>
    <row r="44" spans="1:15" ht="15" customHeight="1" x14ac:dyDescent="0.2">
      <c r="A44" s="34">
        <v>37</v>
      </c>
      <c r="B44" s="34" t="s">
        <v>257</v>
      </c>
      <c r="C44" s="35">
        <f t="shared" si="1"/>
        <v>1475</v>
      </c>
      <c r="D44" s="35">
        <v>350</v>
      </c>
      <c r="E44" s="35">
        <f>575</f>
        <v>575</v>
      </c>
      <c r="F44" s="35">
        <f>175</f>
        <v>175</v>
      </c>
      <c r="G44" s="35">
        <v>0</v>
      </c>
      <c r="H44" s="35">
        <v>0</v>
      </c>
      <c r="I44" s="35">
        <v>375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38</v>
      </c>
      <c r="B45" s="34" t="s">
        <v>317</v>
      </c>
      <c r="C45" s="35">
        <f t="shared" si="1"/>
        <v>1465</v>
      </c>
      <c r="D45" s="35">
        <v>0</v>
      </c>
      <c r="E45" s="35">
        <v>0</v>
      </c>
      <c r="F45" s="35">
        <v>0</v>
      </c>
      <c r="G45" s="35">
        <v>0</v>
      </c>
      <c r="H45" s="35">
        <f>200</f>
        <v>200</v>
      </c>
      <c r="I45" s="35">
        <v>0</v>
      </c>
      <c r="J45" s="35">
        <v>300</v>
      </c>
      <c r="K45" s="35">
        <v>325</v>
      </c>
      <c r="L45" s="35">
        <v>0</v>
      </c>
      <c r="M45" s="35">
        <v>115</v>
      </c>
      <c r="N45" s="35">
        <f>200+325</f>
        <v>525</v>
      </c>
      <c r="O45" s="35">
        <v>0</v>
      </c>
    </row>
    <row r="46" spans="1:15" ht="15" customHeight="1" x14ac:dyDescent="0.2">
      <c r="A46" s="34">
        <v>39</v>
      </c>
      <c r="B46" s="34" t="s">
        <v>335</v>
      </c>
      <c r="C46" s="35">
        <f t="shared" si="1"/>
        <v>1390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160</v>
      </c>
      <c r="M46" s="35">
        <v>200</v>
      </c>
      <c r="N46" s="35">
        <f>160+300</f>
        <v>460</v>
      </c>
      <c r="O46" s="35">
        <f>425+145</f>
        <v>570</v>
      </c>
    </row>
    <row r="47" spans="1:15" ht="15" customHeight="1" x14ac:dyDescent="0.2">
      <c r="A47" s="34">
        <v>40</v>
      </c>
      <c r="B47" s="34" t="s">
        <v>187</v>
      </c>
      <c r="C47" s="35">
        <f t="shared" si="1"/>
        <v>1275</v>
      </c>
      <c r="D47" s="35">
        <v>200</v>
      </c>
      <c r="E47" s="35">
        <v>0</v>
      </c>
      <c r="F47" s="35">
        <v>0</v>
      </c>
      <c r="G47" s="35">
        <f>160</f>
        <v>160</v>
      </c>
      <c r="H47" s="35">
        <f>375</f>
        <v>375</v>
      </c>
      <c r="I47" s="35">
        <v>160</v>
      </c>
      <c r="J47" s="35">
        <v>250</v>
      </c>
      <c r="K47" s="35">
        <v>0</v>
      </c>
      <c r="L47" s="35">
        <v>0</v>
      </c>
      <c r="M47" s="35">
        <v>0</v>
      </c>
      <c r="N47" s="35">
        <v>130</v>
      </c>
      <c r="O47" s="35">
        <v>0</v>
      </c>
    </row>
    <row r="48" spans="1:15" ht="15" customHeight="1" x14ac:dyDescent="0.2">
      <c r="A48" s="34">
        <v>41</v>
      </c>
      <c r="B48" s="34" t="s">
        <v>324</v>
      </c>
      <c r="C48" s="35">
        <f t="shared" si="1"/>
        <v>1225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f>SUM(375+575)</f>
        <v>950</v>
      </c>
      <c r="J48" s="35">
        <v>0</v>
      </c>
      <c r="K48" s="35">
        <v>0</v>
      </c>
      <c r="L48" s="35">
        <f>275</f>
        <v>275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42</v>
      </c>
      <c r="B49" s="34" t="s">
        <v>18</v>
      </c>
      <c r="C49" s="35">
        <f t="shared" si="1"/>
        <v>1025</v>
      </c>
      <c r="D49" s="35">
        <v>0</v>
      </c>
      <c r="E49" s="35">
        <v>0</v>
      </c>
      <c r="F49" s="35">
        <v>0</v>
      </c>
      <c r="G49" s="35">
        <f>475+275</f>
        <v>750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f>145+130</f>
        <v>275</v>
      </c>
      <c r="N49" s="35">
        <v>0</v>
      </c>
      <c r="O49" s="35">
        <v>0</v>
      </c>
    </row>
    <row r="50" spans="1:15" ht="15" customHeight="1" x14ac:dyDescent="0.2">
      <c r="A50" s="37">
        <v>43</v>
      </c>
      <c r="B50" s="37" t="s">
        <v>59</v>
      </c>
      <c r="C50" s="38">
        <f t="shared" si="1"/>
        <v>850</v>
      </c>
      <c r="D50" s="30">
        <v>0</v>
      </c>
      <c r="E50" s="30">
        <v>0</v>
      </c>
      <c r="F50" s="30">
        <v>0</v>
      </c>
      <c r="G50" s="30">
        <f>300</f>
        <v>300</v>
      </c>
      <c r="H50" s="30">
        <f>300</f>
        <v>300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f>250</f>
        <v>250</v>
      </c>
    </row>
    <row r="51" spans="1:15" ht="15" customHeight="1" x14ac:dyDescent="0.2">
      <c r="A51" s="37">
        <v>44</v>
      </c>
      <c r="B51" s="37" t="s">
        <v>330</v>
      </c>
      <c r="C51" s="38">
        <f t="shared" si="1"/>
        <v>830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f>425+275+130</f>
        <v>830</v>
      </c>
      <c r="M51" s="30">
        <v>0</v>
      </c>
      <c r="N51" s="30">
        <v>0</v>
      </c>
      <c r="O51" s="30">
        <v>0</v>
      </c>
    </row>
    <row r="52" spans="1:15" ht="15" customHeight="1" x14ac:dyDescent="0.2">
      <c r="A52" s="37">
        <v>45</v>
      </c>
      <c r="B52" s="37" t="s">
        <v>310</v>
      </c>
      <c r="C52" s="38">
        <f t="shared" si="1"/>
        <v>630</v>
      </c>
      <c r="D52" s="30">
        <v>0</v>
      </c>
      <c r="E52" s="30">
        <v>0</v>
      </c>
      <c r="F52" s="30">
        <v>0</v>
      </c>
      <c r="G52" s="30">
        <f>275+225+130</f>
        <v>630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</row>
    <row r="53" spans="1:15" ht="15" customHeight="1" x14ac:dyDescent="0.2">
      <c r="A53" s="37">
        <v>46</v>
      </c>
      <c r="B53" s="37" t="s">
        <v>247</v>
      </c>
      <c r="C53" s="38">
        <f t="shared" si="1"/>
        <v>605</v>
      </c>
      <c r="D53" s="30">
        <v>0</v>
      </c>
      <c r="E53" s="30">
        <v>0</v>
      </c>
      <c r="F53" s="30">
        <v>0</v>
      </c>
      <c r="G53" s="30">
        <v>0</v>
      </c>
      <c r="H53" s="30">
        <f>250+225</f>
        <v>475</v>
      </c>
      <c r="I53" s="30">
        <v>130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</row>
    <row r="54" spans="1:15" ht="15" customHeight="1" x14ac:dyDescent="0.2">
      <c r="A54" s="37">
        <v>47</v>
      </c>
      <c r="B54" s="37" t="s">
        <v>288</v>
      </c>
      <c r="C54" s="38">
        <f t="shared" si="1"/>
        <v>575</v>
      </c>
      <c r="D54" s="30">
        <v>0</v>
      </c>
      <c r="E54" s="30">
        <v>0</v>
      </c>
      <c r="F54" s="30">
        <f>575</f>
        <v>575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</row>
    <row r="55" spans="1:15" ht="15" customHeight="1" x14ac:dyDescent="0.2">
      <c r="A55" s="37">
        <v>47</v>
      </c>
      <c r="B55" s="37" t="s">
        <v>331</v>
      </c>
      <c r="C55" s="38">
        <f t="shared" si="1"/>
        <v>575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f>575</f>
        <v>575</v>
      </c>
      <c r="M55" s="30">
        <v>0</v>
      </c>
      <c r="N55" s="30">
        <v>0</v>
      </c>
      <c r="O55" s="30">
        <v>0</v>
      </c>
    </row>
    <row r="56" spans="1:15" ht="15" customHeight="1" x14ac:dyDescent="0.2">
      <c r="A56" s="37">
        <v>48</v>
      </c>
      <c r="B56" s="37" t="s">
        <v>250</v>
      </c>
      <c r="C56" s="38">
        <f t="shared" si="1"/>
        <v>555</v>
      </c>
      <c r="D56" s="30">
        <v>425</v>
      </c>
      <c r="E56" s="30">
        <v>0</v>
      </c>
      <c r="F56" s="30">
        <f>130</f>
        <v>130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15" ht="15" customHeight="1" x14ac:dyDescent="0.2">
      <c r="A57" s="37">
        <v>49</v>
      </c>
      <c r="B57" s="37" t="s">
        <v>311</v>
      </c>
      <c r="C57" s="38">
        <f t="shared" si="1"/>
        <v>555</v>
      </c>
      <c r="D57" s="30">
        <v>0</v>
      </c>
      <c r="E57" s="30">
        <v>0</v>
      </c>
      <c r="F57" s="30">
        <v>0</v>
      </c>
      <c r="G57" s="30">
        <f>130+250+175</f>
        <v>555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</row>
    <row r="58" spans="1:15" ht="15" customHeight="1" x14ac:dyDescent="0.2">
      <c r="A58" s="37">
        <v>50</v>
      </c>
      <c r="B58" s="37" t="s">
        <v>248</v>
      </c>
      <c r="C58" s="38">
        <f t="shared" si="1"/>
        <v>475</v>
      </c>
      <c r="D58" s="30">
        <v>0</v>
      </c>
      <c r="E58" s="30">
        <v>0</v>
      </c>
      <c r="F58" s="30">
        <f>475</f>
        <v>475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</row>
    <row r="59" spans="1:15" ht="15" customHeight="1" x14ac:dyDescent="0.2">
      <c r="A59" s="37">
        <v>50</v>
      </c>
      <c r="B59" s="37" t="s">
        <v>292</v>
      </c>
      <c r="C59" s="38">
        <f t="shared" si="1"/>
        <v>475</v>
      </c>
      <c r="D59" s="30">
        <v>0</v>
      </c>
      <c r="E59" s="30">
        <v>0</v>
      </c>
      <c r="F59" s="30">
        <f>300</f>
        <v>300</v>
      </c>
      <c r="G59" s="30">
        <v>0</v>
      </c>
      <c r="H59" s="30">
        <f>175</f>
        <v>175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</row>
    <row r="60" spans="1:15" ht="15" customHeight="1" x14ac:dyDescent="0.2">
      <c r="A60" s="37">
        <v>51</v>
      </c>
      <c r="B60" s="37" t="s">
        <v>334</v>
      </c>
      <c r="C60" s="38">
        <f t="shared" si="1"/>
        <v>425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425</v>
      </c>
      <c r="M60" s="30">
        <v>0</v>
      </c>
      <c r="N60" s="30">
        <v>0</v>
      </c>
      <c r="O60" s="30">
        <v>0</v>
      </c>
    </row>
    <row r="61" spans="1:15" ht="15" customHeight="1" x14ac:dyDescent="0.2">
      <c r="A61" s="37">
        <v>52</v>
      </c>
      <c r="B61" s="37" t="s">
        <v>258</v>
      </c>
      <c r="C61" s="38">
        <f t="shared" si="1"/>
        <v>375</v>
      </c>
      <c r="D61" s="30">
        <v>0</v>
      </c>
      <c r="E61" s="30">
        <v>0</v>
      </c>
      <c r="F61" s="30">
        <v>0</v>
      </c>
      <c r="G61" s="30">
        <f>375</f>
        <v>375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15" ht="15" customHeight="1" x14ac:dyDescent="0.2">
      <c r="A62" s="37">
        <v>52</v>
      </c>
      <c r="B62" s="37" t="s">
        <v>168</v>
      </c>
      <c r="C62" s="38">
        <f t="shared" si="1"/>
        <v>375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f>375</f>
        <v>375</v>
      </c>
      <c r="M62" s="30">
        <v>0</v>
      </c>
      <c r="N62" s="30">
        <v>0</v>
      </c>
      <c r="O62" s="30">
        <v>0</v>
      </c>
    </row>
    <row r="63" spans="1:15" ht="15" customHeight="1" x14ac:dyDescent="0.2">
      <c r="A63" s="37">
        <v>53</v>
      </c>
      <c r="B63" s="37" t="s">
        <v>203</v>
      </c>
      <c r="C63" s="38">
        <f t="shared" si="1"/>
        <v>350</v>
      </c>
      <c r="D63" s="30">
        <v>0</v>
      </c>
      <c r="E63" s="30">
        <v>0</v>
      </c>
      <c r="F63" s="30">
        <v>0</v>
      </c>
      <c r="G63" s="30">
        <v>0</v>
      </c>
      <c r="H63" s="30">
        <f>350</f>
        <v>350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ht="15" customHeight="1" x14ac:dyDescent="0.2">
      <c r="A64" s="37">
        <v>53</v>
      </c>
      <c r="B64" s="37" t="s">
        <v>289</v>
      </c>
      <c r="C64" s="38">
        <f t="shared" si="1"/>
        <v>350</v>
      </c>
      <c r="D64" s="30">
        <v>0</v>
      </c>
      <c r="E64" s="30">
        <v>0</v>
      </c>
      <c r="F64" s="30">
        <f>350</f>
        <v>350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</row>
    <row r="65" spans="1:15" ht="15" customHeight="1" x14ac:dyDescent="0.2">
      <c r="A65" s="37">
        <v>54</v>
      </c>
      <c r="B65" s="37" t="s">
        <v>216</v>
      </c>
      <c r="C65" s="38">
        <f t="shared" si="1"/>
        <v>350</v>
      </c>
      <c r="D65" s="30">
        <v>0</v>
      </c>
      <c r="E65" s="30">
        <v>0</v>
      </c>
      <c r="F65" s="30">
        <f>350</f>
        <v>350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</row>
    <row r="66" spans="1:15" ht="15" customHeight="1" x14ac:dyDescent="0.2">
      <c r="A66" s="37">
        <v>55</v>
      </c>
      <c r="B66" s="37" t="s">
        <v>332</v>
      </c>
      <c r="C66" s="38">
        <f t="shared" si="1"/>
        <v>345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f>145+200</f>
        <v>345</v>
      </c>
      <c r="M66" s="30">
        <v>0</v>
      </c>
      <c r="N66" s="30">
        <v>0</v>
      </c>
      <c r="O66" s="30">
        <v>0</v>
      </c>
    </row>
    <row r="67" spans="1:15" ht="15" customHeight="1" x14ac:dyDescent="0.2">
      <c r="A67" s="37">
        <v>56</v>
      </c>
      <c r="B67" s="37" t="s">
        <v>333</v>
      </c>
      <c r="C67" s="38">
        <f t="shared" si="1"/>
        <v>325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f>325</f>
        <v>325</v>
      </c>
      <c r="M67" s="30">
        <v>0</v>
      </c>
      <c r="N67" s="30">
        <v>0</v>
      </c>
      <c r="O67" s="30">
        <v>0</v>
      </c>
    </row>
    <row r="68" spans="1:15" ht="15" customHeight="1" x14ac:dyDescent="0.2">
      <c r="A68" s="37">
        <v>56</v>
      </c>
      <c r="B68" s="37" t="s">
        <v>283</v>
      </c>
      <c r="C68" s="38">
        <f t="shared" si="1"/>
        <v>325</v>
      </c>
      <c r="D68" s="30">
        <v>0</v>
      </c>
      <c r="E68" s="30">
        <v>325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</row>
    <row r="69" spans="1:15" ht="15" customHeight="1" x14ac:dyDescent="0.2">
      <c r="A69" s="37">
        <v>57</v>
      </c>
      <c r="B69" s="37" t="s">
        <v>235</v>
      </c>
      <c r="C69" s="38">
        <f t="shared" si="1"/>
        <v>275</v>
      </c>
      <c r="D69" s="30">
        <v>275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</row>
    <row r="70" spans="1:15" ht="15" customHeight="1" x14ac:dyDescent="0.2">
      <c r="A70" s="37">
        <v>57</v>
      </c>
      <c r="B70" s="37" t="s">
        <v>338</v>
      </c>
      <c r="C70" s="38">
        <f t="shared" si="1"/>
        <v>275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275</v>
      </c>
      <c r="O70" s="30">
        <v>0</v>
      </c>
    </row>
    <row r="71" spans="1:15" ht="15" customHeight="1" x14ac:dyDescent="0.2">
      <c r="A71" s="37">
        <v>57</v>
      </c>
      <c r="B71" s="37" t="s">
        <v>327</v>
      </c>
      <c r="C71" s="38">
        <f>SUM(J71:O71)</f>
        <v>275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275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</row>
    <row r="72" spans="1:15" ht="15" customHeight="1" x14ac:dyDescent="0.2">
      <c r="A72" s="37">
        <v>57</v>
      </c>
      <c r="B72" s="37" t="s">
        <v>220</v>
      </c>
      <c r="C72" s="38">
        <f t="shared" ref="C72:C84" si="2">SUM(D72:O72)</f>
        <v>275</v>
      </c>
      <c r="D72" s="30">
        <v>0</v>
      </c>
      <c r="E72" s="30">
        <v>0</v>
      </c>
      <c r="F72" s="30">
        <f>275</f>
        <v>275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ht="15" customHeight="1" x14ac:dyDescent="0.2">
      <c r="A73" s="37">
        <v>58</v>
      </c>
      <c r="B73" s="37" t="s">
        <v>322</v>
      </c>
      <c r="C73" s="38">
        <f t="shared" si="2"/>
        <v>250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250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</row>
    <row r="74" spans="1:15" ht="15" customHeight="1" x14ac:dyDescent="0.2">
      <c r="A74" s="37">
        <v>58</v>
      </c>
      <c r="B74" s="37" t="s">
        <v>304</v>
      </c>
      <c r="C74" s="38">
        <f t="shared" si="2"/>
        <v>250</v>
      </c>
      <c r="D74" s="30">
        <v>0</v>
      </c>
      <c r="E74" s="30">
        <v>0</v>
      </c>
      <c r="F74" s="30">
        <f>250</f>
        <v>250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</row>
    <row r="75" spans="1:15" ht="15" customHeight="1" x14ac:dyDescent="0.2">
      <c r="A75" s="37">
        <v>59</v>
      </c>
      <c r="B75" s="37" t="s">
        <v>320</v>
      </c>
      <c r="C75" s="38">
        <f t="shared" si="2"/>
        <v>225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225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</row>
    <row r="76" spans="1:15" ht="15" customHeight="1" x14ac:dyDescent="0.2">
      <c r="A76" s="37">
        <v>59</v>
      </c>
      <c r="B76" s="37" t="s">
        <v>337</v>
      </c>
      <c r="C76" s="38">
        <f t="shared" si="2"/>
        <v>225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f>225</f>
        <v>225</v>
      </c>
      <c r="N76" s="30">
        <v>0</v>
      </c>
      <c r="O76" s="30">
        <v>0</v>
      </c>
    </row>
    <row r="77" spans="1:15" ht="15" customHeight="1" x14ac:dyDescent="0.2">
      <c r="A77" s="37">
        <v>59</v>
      </c>
      <c r="B77" s="37" t="s">
        <v>340</v>
      </c>
      <c r="C77" s="38">
        <f t="shared" si="2"/>
        <v>225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225</v>
      </c>
      <c r="O77" s="30">
        <v>0</v>
      </c>
    </row>
    <row r="78" spans="1:15" ht="15" customHeight="1" x14ac:dyDescent="0.2">
      <c r="A78" s="37">
        <v>59</v>
      </c>
      <c r="B78" s="37" t="s">
        <v>328</v>
      </c>
      <c r="C78" s="38">
        <f t="shared" si="2"/>
        <v>225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225</v>
      </c>
      <c r="L78" s="30">
        <v>0</v>
      </c>
      <c r="M78" s="30">
        <v>0</v>
      </c>
      <c r="N78" s="30">
        <v>0</v>
      </c>
      <c r="O78" s="30">
        <v>0</v>
      </c>
    </row>
    <row r="79" spans="1:15" ht="15" customHeight="1" x14ac:dyDescent="0.2">
      <c r="A79" s="37">
        <v>60</v>
      </c>
      <c r="B79" s="37" t="s">
        <v>321</v>
      </c>
      <c r="C79" s="38">
        <f t="shared" si="2"/>
        <v>200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200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</row>
    <row r="80" spans="1:15" ht="15" customHeight="1" x14ac:dyDescent="0.2">
      <c r="A80" s="37">
        <v>60</v>
      </c>
      <c r="B80" s="37" t="s">
        <v>53</v>
      </c>
      <c r="C80" s="38">
        <f t="shared" si="2"/>
        <v>200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f>200</f>
        <v>200</v>
      </c>
      <c r="M80" s="30">
        <v>0</v>
      </c>
      <c r="N80" s="30">
        <v>0</v>
      </c>
      <c r="O80" s="30">
        <v>0</v>
      </c>
    </row>
    <row r="81" spans="1:15" ht="15" customHeight="1" x14ac:dyDescent="0.2">
      <c r="A81" s="37">
        <v>61</v>
      </c>
      <c r="B81" s="37" t="s">
        <v>72</v>
      </c>
      <c r="C81" s="38">
        <f t="shared" si="2"/>
        <v>175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175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</row>
    <row r="82" spans="1:15" ht="15" customHeight="1" x14ac:dyDescent="0.2">
      <c r="A82" s="37">
        <v>61</v>
      </c>
      <c r="B82" s="37" t="s">
        <v>32</v>
      </c>
      <c r="C82" s="38">
        <f t="shared" si="2"/>
        <v>175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f>175</f>
        <v>175</v>
      </c>
      <c r="M82" s="30">
        <v>0</v>
      </c>
      <c r="N82" s="30">
        <v>0</v>
      </c>
      <c r="O82" s="30">
        <v>0</v>
      </c>
    </row>
    <row r="83" spans="1:15" ht="15" customHeight="1" x14ac:dyDescent="0.2">
      <c r="A83" s="37">
        <v>61</v>
      </c>
      <c r="B83" s="37" t="s">
        <v>314</v>
      </c>
      <c r="C83" s="38">
        <f t="shared" si="2"/>
        <v>175</v>
      </c>
      <c r="D83" s="30">
        <v>0</v>
      </c>
      <c r="E83" s="30">
        <v>0</v>
      </c>
      <c r="F83" s="30">
        <v>0</v>
      </c>
      <c r="G83" s="30">
        <f>175</f>
        <v>175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</row>
    <row r="84" spans="1:15" ht="15" customHeight="1" x14ac:dyDescent="0.2">
      <c r="A84" s="37">
        <v>62</v>
      </c>
      <c r="B84" s="37" t="s">
        <v>329</v>
      </c>
      <c r="C84" s="38">
        <f t="shared" si="2"/>
        <v>160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f>160</f>
        <v>160</v>
      </c>
      <c r="M84" s="30">
        <v>0</v>
      </c>
      <c r="N84" s="30">
        <v>0</v>
      </c>
      <c r="O84" s="30">
        <v>0</v>
      </c>
    </row>
    <row r="85" spans="1:15" ht="15" customHeight="1" x14ac:dyDescent="0.2">
      <c r="A85" s="37">
        <v>62</v>
      </c>
      <c r="B85" s="37" t="s">
        <v>71</v>
      </c>
      <c r="C85" s="38">
        <f>SUM(J85:O85)</f>
        <v>160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160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</row>
    <row r="86" spans="1:15" ht="15" customHeight="1" x14ac:dyDescent="0.2">
      <c r="A86" s="37">
        <v>62</v>
      </c>
      <c r="B86" s="37" t="s">
        <v>270</v>
      </c>
      <c r="C86" s="38">
        <f t="shared" ref="C86:C93" si="3">SUM(D86:O86)</f>
        <v>160</v>
      </c>
      <c r="D86" s="30">
        <v>0</v>
      </c>
      <c r="E86" s="30">
        <v>0</v>
      </c>
      <c r="F86" s="30">
        <f>160</f>
        <v>160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</row>
    <row r="87" spans="1:15" ht="15" customHeight="1" x14ac:dyDescent="0.2">
      <c r="A87" s="37">
        <v>63</v>
      </c>
      <c r="B87" s="37" t="s">
        <v>305</v>
      </c>
      <c r="C87" s="38">
        <f t="shared" si="3"/>
        <v>145</v>
      </c>
      <c r="D87" s="30">
        <v>0</v>
      </c>
      <c r="E87" s="30">
        <v>0</v>
      </c>
      <c r="F87" s="30">
        <f>145</f>
        <v>145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</row>
    <row r="88" spans="1:15" ht="15" customHeight="1" x14ac:dyDescent="0.2">
      <c r="A88" s="37">
        <v>63</v>
      </c>
      <c r="B88" s="37" t="s">
        <v>339</v>
      </c>
      <c r="C88" s="38">
        <f t="shared" si="3"/>
        <v>145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145</v>
      </c>
      <c r="O88" s="30">
        <v>0</v>
      </c>
    </row>
    <row r="89" spans="1:15" ht="15" customHeight="1" x14ac:dyDescent="0.2">
      <c r="A89" s="37">
        <v>63</v>
      </c>
      <c r="B89" s="37" t="s">
        <v>291</v>
      </c>
      <c r="C89" s="38">
        <f t="shared" si="3"/>
        <v>145</v>
      </c>
      <c r="D89" s="30">
        <v>0</v>
      </c>
      <c r="E89" s="30">
        <v>0</v>
      </c>
      <c r="F89" s="30">
        <f>145</f>
        <v>145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</row>
    <row r="90" spans="1:15" ht="15" customHeight="1" x14ac:dyDescent="0.2">
      <c r="A90" s="37">
        <v>64</v>
      </c>
      <c r="B90" s="37" t="s">
        <v>9</v>
      </c>
      <c r="C90" s="38">
        <f t="shared" si="3"/>
        <v>130</v>
      </c>
      <c r="D90" s="30">
        <v>0</v>
      </c>
      <c r="E90" s="30">
        <v>0</v>
      </c>
      <c r="F90" s="30">
        <f>130</f>
        <v>130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</row>
    <row r="91" spans="1:15" ht="15" customHeight="1" x14ac:dyDescent="0.2">
      <c r="A91" s="37">
        <v>65</v>
      </c>
      <c r="B91" s="37" t="s">
        <v>306</v>
      </c>
      <c r="C91" s="38">
        <f t="shared" si="3"/>
        <v>115</v>
      </c>
      <c r="D91" s="30">
        <v>0</v>
      </c>
      <c r="E91" s="30">
        <v>0</v>
      </c>
      <c r="F91" s="30">
        <f>115</f>
        <v>115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</row>
    <row r="92" spans="1:15" ht="15" customHeight="1" x14ac:dyDescent="0.2">
      <c r="A92" s="37">
        <v>65</v>
      </c>
      <c r="B92" s="37" t="s">
        <v>309</v>
      </c>
      <c r="C92" s="38">
        <f t="shared" si="3"/>
        <v>115</v>
      </c>
      <c r="D92" s="30">
        <v>0</v>
      </c>
      <c r="E92" s="30">
        <v>0</v>
      </c>
      <c r="F92" s="30">
        <f>115</f>
        <v>115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</row>
    <row r="93" spans="1:15" ht="15" customHeight="1" x14ac:dyDescent="0.2">
      <c r="A93" s="37">
        <v>65</v>
      </c>
      <c r="B93" s="37" t="s">
        <v>312</v>
      </c>
      <c r="C93" s="38">
        <f t="shared" si="3"/>
        <v>115</v>
      </c>
      <c r="D93" s="30">
        <v>0</v>
      </c>
      <c r="E93" s="30">
        <v>0</v>
      </c>
      <c r="F93" s="30">
        <v>0</v>
      </c>
      <c r="G93" s="30">
        <f>115</f>
        <v>115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</row>
    <row r="94" spans="1:15" ht="15" customHeight="1" x14ac:dyDescent="0.2">
      <c r="A94" s="25"/>
      <c r="B94" s="2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6"/>
      <c r="O94" s="6"/>
    </row>
    <row r="95" spans="1:15" ht="15" customHeight="1" x14ac:dyDescent="0.25">
      <c r="A95" s="17" t="s">
        <v>3</v>
      </c>
      <c r="B95" s="7"/>
      <c r="C95" s="7"/>
      <c r="D95" s="7"/>
      <c r="E95" s="3"/>
      <c r="F95" s="3"/>
      <c r="G95" s="3"/>
      <c r="H95" s="3"/>
      <c r="I95" s="3"/>
      <c r="J95" s="3"/>
    </row>
    <row r="96" spans="1:15" ht="18.75" customHeight="1" x14ac:dyDescent="0.25">
      <c r="A96" s="18" t="s">
        <v>4</v>
      </c>
      <c r="B96" s="8"/>
      <c r="C96" s="8"/>
      <c r="D96" s="8"/>
      <c r="E96" s="4"/>
      <c r="F96" s="4"/>
      <c r="G96" s="4"/>
      <c r="H96" s="4"/>
      <c r="I96" s="4"/>
      <c r="J96" s="4"/>
    </row>
    <row r="97" spans="1:10" ht="18.75" customHeight="1" x14ac:dyDescent="0.25">
      <c r="A97" s="19" t="s">
        <v>5</v>
      </c>
      <c r="B97" s="9"/>
      <c r="C97" s="9"/>
      <c r="D97" s="9"/>
      <c r="E97" s="5"/>
      <c r="F97" s="5"/>
      <c r="G97" s="5"/>
      <c r="H97" s="5"/>
      <c r="I97" s="5"/>
      <c r="J97" s="5"/>
    </row>
    <row r="98" spans="1:10" ht="18.75" customHeight="1" x14ac:dyDescent="0.2"/>
    <row r="100" spans="1:10" ht="21" customHeight="1" x14ac:dyDescent="0.2"/>
    <row r="124" ht="18.75" customHeight="1" x14ac:dyDescent="0.2"/>
    <row r="125" ht="18.75" customHeight="1" x14ac:dyDescent="0.2"/>
  </sheetData>
  <sortState ref="A8:O93">
    <sortCondition descending="1" ref="C8:C93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22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40.5" customHeight="1" x14ac:dyDescent="0.4">
      <c r="A3" s="59" t="s">
        <v>263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30" customHeight="1" x14ac:dyDescent="0.4">
      <c r="A5" s="61" t="s">
        <v>284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2">
        <v>43</v>
      </c>
      <c r="B56" s="22" t="s">
        <v>266</v>
      </c>
      <c r="C56" s="13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2">
        <v>44</v>
      </c>
      <c r="B57" s="22" t="s">
        <v>16</v>
      </c>
      <c r="C57" s="13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2">
        <v>44</v>
      </c>
      <c r="B58" s="22" t="s">
        <v>217</v>
      </c>
      <c r="C58" s="13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2">
        <v>45</v>
      </c>
      <c r="B59" s="22" t="s">
        <v>243</v>
      </c>
      <c r="C59" s="13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2">
        <v>45</v>
      </c>
      <c r="B60" s="26" t="s">
        <v>281</v>
      </c>
      <c r="C60" s="13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13">
        <v>0</v>
      </c>
      <c r="V60" s="13">
        <v>0</v>
      </c>
    </row>
    <row r="61" spans="1:22" ht="15" customHeight="1" x14ac:dyDescent="0.2">
      <c r="A61" s="22">
        <v>45</v>
      </c>
      <c r="B61" s="22" t="s">
        <v>234</v>
      </c>
      <c r="C61" s="13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2">
        <v>45</v>
      </c>
      <c r="B62" s="22" t="s">
        <v>224</v>
      </c>
      <c r="C62" s="13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2">
        <v>46</v>
      </c>
      <c r="B63" s="22" t="s">
        <v>278</v>
      </c>
      <c r="C63" s="13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2">
        <v>47</v>
      </c>
      <c r="B64" s="22" t="s">
        <v>273</v>
      </c>
      <c r="C64" s="13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2">
        <v>47</v>
      </c>
      <c r="B65" s="22" t="s">
        <v>227</v>
      </c>
      <c r="C65" s="13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2">
        <v>47</v>
      </c>
      <c r="B66" s="22" t="s">
        <v>267</v>
      </c>
      <c r="C66" s="13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2">
        <v>47</v>
      </c>
      <c r="B67" s="22" t="s">
        <v>248</v>
      </c>
      <c r="C67" s="13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2">
        <v>48</v>
      </c>
      <c r="B68" s="22" t="s">
        <v>272</v>
      </c>
      <c r="C68" s="13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2">
        <v>48</v>
      </c>
      <c r="B69" s="27" t="s">
        <v>282</v>
      </c>
      <c r="C69" s="13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2">
        <v>48</v>
      </c>
      <c r="B70" s="22" t="s">
        <v>276</v>
      </c>
      <c r="C70" s="13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</row>
    <row r="71" spans="1:22" ht="15" customHeight="1" x14ac:dyDescent="0.2">
      <c r="A71" s="22">
        <v>48</v>
      </c>
      <c r="B71" s="22" t="s">
        <v>260</v>
      </c>
      <c r="C71" s="13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2">
        <v>48</v>
      </c>
      <c r="B72" s="22" t="s">
        <v>226</v>
      </c>
      <c r="C72" s="13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2">
        <v>49</v>
      </c>
      <c r="B73" s="22" t="s">
        <v>225</v>
      </c>
      <c r="C73" s="13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2">
        <v>49</v>
      </c>
      <c r="B74" s="22" t="s">
        <v>228</v>
      </c>
      <c r="C74" s="13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2">
        <v>49</v>
      </c>
      <c r="B75" s="22" t="s">
        <v>249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2">
        <v>49</v>
      </c>
      <c r="B76" s="22" t="s">
        <v>279</v>
      </c>
      <c r="C76" s="13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2">
        <v>49</v>
      </c>
      <c r="B77" s="22" t="s">
        <v>279</v>
      </c>
      <c r="C77" s="13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2">
        <v>49</v>
      </c>
      <c r="B78" s="22" t="s">
        <v>236</v>
      </c>
      <c r="C78" s="13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2">
        <v>50</v>
      </c>
      <c r="B79" s="22" t="s">
        <v>262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2">
        <v>50</v>
      </c>
      <c r="B80" s="22" t="s">
        <v>47</v>
      </c>
      <c r="C80" s="13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2">
        <v>50</v>
      </c>
      <c r="B81" s="22" t="s">
        <v>277</v>
      </c>
      <c r="C81" s="13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160</v>
      </c>
      <c r="V81" s="13">
        <v>0</v>
      </c>
    </row>
    <row r="82" spans="1:22" ht="15" customHeight="1" x14ac:dyDescent="0.2">
      <c r="A82" s="22">
        <v>50</v>
      </c>
      <c r="B82" s="22" t="s">
        <v>59</v>
      </c>
      <c r="C82" s="13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2">
        <v>50</v>
      </c>
      <c r="B83" s="22" t="s">
        <v>283</v>
      </c>
      <c r="C83" s="13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2">
        <v>51</v>
      </c>
      <c r="B84" s="22" t="s">
        <v>229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2">
        <v>51</v>
      </c>
      <c r="B85" s="22" t="s">
        <v>280</v>
      </c>
      <c r="C85" s="13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2">
        <v>51</v>
      </c>
      <c r="B86" s="22" t="s">
        <v>269</v>
      </c>
      <c r="C86" s="13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2">
        <v>52</v>
      </c>
      <c r="B87" s="22" t="s">
        <v>244</v>
      </c>
      <c r="C87" s="13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2">
        <v>52</v>
      </c>
      <c r="B88" s="22" t="s">
        <v>230</v>
      </c>
      <c r="C88" s="13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2">
        <v>53</v>
      </c>
      <c r="B89" s="22" t="s">
        <v>231</v>
      </c>
      <c r="C89" s="13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2">
        <v>53</v>
      </c>
      <c r="B90" s="22" t="s">
        <v>245</v>
      </c>
      <c r="C90" s="13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2">
        <v>53</v>
      </c>
      <c r="B91" s="22" t="s">
        <v>261</v>
      </c>
      <c r="C91" s="13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2">
        <v>53</v>
      </c>
      <c r="B92" s="22" t="s">
        <v>252</v>
      </c>
      <c r="C92" s="13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6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40.5" customHeight="1" x14ac:dyDescent="0.4">
      <c r="A3" s="59" t="s">
        <v>212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186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9" ht="45" customHeight="1" x14ac:dyDescent="0.5">
      <c r="A2" s="76" t="s">
        <v>100</v>
      </c>
      <c r="B2" s="76"/>
      <c r="C2" s="76"/>
      <c r="D2" s="76"/>
      <c r="E2" s="76"/>
      <c r="F2" s="76"/>
      <c r="G2" s="76"/>
      <c r="H2" s="76"/>
      <c r="I2" s="76"/>
    </row>
    <row r="3" spans="1:9" ht="33" customHeight="1" x14ac:dyDescent="0.4">
      <c r="A3" s="77" t="s">
        <v>133</v>
      </c>
      <c r="B3" s="78"/>
      <c r="C3" s="78"/>
      <c r="D3" s="78"/>
      <c r="E3" s="78"/>
      <c r="F3" s="78"/>
      <c r="G3" s="78"/>
      <c r="H3" s="78"/>
      <c r="I3" s="78"/>
    </row>
    <row r="4" spans="1:9" ht="9.75" customHeight="1" x14ac:dyDescent="0.4">
      <c r="A4" s="77"/>
      <c r="B4" s="78"/>
      <c r="C4" s="78"/>
      <c r="D4" s="78"/>
      <c r="E4" s="78"/>
      <c r="F4" s="78"/>
      <c r="G4" s="78"/>
      <c r="H4" s="78"/>
      <c r="I4" s="78"/>
    </row>
    <row r="5" spans="1:9" ht="30" customHeight="1" x14ac:dyDescent="0.4">
      <c r="A5" s="79" t="s">
        <v>108</v>
      </c>
      <c r="B5" s="80"/>
      <c r="C5" s="80"/>
      <c r="D5" s="80"/>
      <c r="E5" s="80"/>
      <c r="F5" s="80"/>
      <c r="G5" s="80"/>
      <c r="H5" s="80"/>
      <c r="I5" s="80"/>
    </row>
    <row r="6" spans="1:9" ht="21" customHeight="1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ht="36" customHeight="1" x14ac:dyDescent="0.5">
      <c r="A52" s="69" t="s">
        <v>100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ht="38.25" customHeight="1" x14ac:dyDescent="0.4">
      <c r="A53" s="63" t="s">
        <v>131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1:12" ht="42" customHeight="1" x14ac:dyDescent="0.4">
      <c r="A54" s="59" t="s">
        <v>136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</row>
    <row r="55" spans="1:12" ht="42" customHeight="1" x14ac:dyDescent="0.4">
      <c r="A55" s="71" t="s">
        <v>132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ht="21" customHeight="1" x14ac:dyDescent="0.2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5" t="s">
        <v>4</v>
      </c>
      <c r="B80" s="66"/>
      <c r="C80" s="66"/>
      <c r="D80" s="66"/>
      <c r="E80" s="20"/>
      <c r="F80" s="20"/>
      <c r="G80" s="20"/>
    </row>
    <row r="81" spans="1:7" ht="18.75" customHeight="1" x14ac:dyDescent="0.25">
      <c r="A81" s="67" t="s">
        <v>130</v>
      </c>
      <c r="B81" s="68"/>
      <c r="C81" s="68"/>
      <c r="D81" s="6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76" t="s">
        <v>33</v>
      </c>
      <c r="B2" s="76"/>
      <c r="C2" s="76"/>
      <c r="D2" s="76"/>
      <c r="E2" s="76"/>
      <c r="F2" s="76"/>
      <c r="G2" s="76"/>
      <c r="H2" s="76"/>
    </row>
    <row r="3" spans="1:8" ht="33" customHeight="1" x14ac:dyDescent="0.4">
      <c r="A3" s="77" t="s">
        <v>74</v>
      </c>
      <c r="B3" s="78"/>
      <c r="C3" s="78"/>
      <c r="D3" s="78"/>
      <c r="E3" s="78"/>
      <c r="F3" s="78"/>
      <c r="G3" s="78"/>
      <c r="H3" s="78"/>
    </row>
    <row r="4" spans="1:8" ht="9.75" customHeight="1" x14ac:dyDescent="0.4">
      <c r="A4" s="77"/>
      <c r="B4" s="78"/>
      <c r="C4" s="78"/>
      <c r="D4" s="78"/>
      <c r="E4" s="78"/>
      <c r="F4" s="78"/>
      <c r="G4" s="78"/>
      <c r="H4" s="78"/>
    </row>
    <row r="5" spans="1:8" ht="30" customHeight="1" x14ac:dyDescent="0.4">
      <c r="A5" s="79" t="s">
        <v>77</v>
      </c>
      <c r="B5" s="80"/>
      <c r="C5" s="80"/>
      <c r="D5" s="80"/>
      <c r="E5" s="80"/>
      <c r="F5" s="80"/>
      <c r="G5" s="80"/>
      <c r="H5" s="80"/>
    </row>
    <row r="6" spans="1:8" ht="30.75" customHeight="1" x14ac:dyDescent="0.2">
      <c r="A6" s="81"/>
      <c r="B6" s="81"/>
      <c r="C6" s="81"/>
      <c r="D6" s="81"/>
      <c r="E6" s="81"/>
      <c r="F6" s="81"/>
      <c r="G6" s="81"/>
      <c r="H6" s="8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2" t="s">
        <v>3</v>
      </c>
      <c r="B43" s="83"/>
      <c r="C43" s="83"/>
      <c r="D43" s="7"/>
      <c r="E43" s="3"/>
      <c r="F43" s="3"/>
      <c r="G43" s="3"/>
      <c r="H43" s="3"/>
    </row>
    <row r="44" spans="1:8" ht="18.75" customHeight="1" x14ac:dyDescent="0.25">
      <c r="A44" s="84" t="s">
        <v>4</v>
      </c>
      <c r="B44" s="85"/>
      <c r="C44" s="85"/>
      <c r="D44" s="8"/>
      <c r="E44" s="4"/>
      <c r="F44" s="4"/>
      <c r="G44" s="4"/>
      <c r="H44" s="4"/>
    </row>
    <row r="45" spans="1:8" ht="18.75" customHeight="1" x14ac:dyDescent="0.25">
      <c r="A45" s="86" t="s">
        <v>5</v>
      </c>
      <c r="B45" s="87"/>
      <c r="C45" s="8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45" customHeight="1" x14ac:dyDescent="0.5">
      <c r="A2" s="76" t="s">
        <v>33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33" customHeight="1" x14ac:dyDescent="0.4">
      <c r="A3" s="77" t="s">
        <v>46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9.75" customHeight="1" x14ac:dyDescent="0.4">
      <c r="A4" s="77"/>
      <c r="B4" s="78"/>
      <c r="C4" s="78"/>
      <c r="D4" s="78"/>
      <c r="E4" s="78"/>
      <c r="F4" s="78"/>
      <c r="G4" s="78"/>
      <c r="H4" s="78"/>
      <c r="I4" s="78"/>
      <c r="J4" s="78"/>
    </row>
    <row r="5" spans="1:10" ht="30" customHeight="1" x14ac:dyDescent="0.4">
      <c r="A5" s="79" t="s">
        <v>51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30.75" customHeight="1" x14ac:dyDescent="0.2">
      <c r="A6" s="81"/>
      <c r="B6" s="81"/>
      <c r="C6" s="81"/>
      <c r="D6" s="81"/>
      <c r="E6" s="81"/>
      <c r="F6" s="81"/>
      <c r="G6" s="81"/>
      <c r="H6" s="81"/>
      <c r="I6" s="81"/>
      <c r="J6" s="8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2" t="s">
        <v>3</v>
      </c>
      <c r="B50" s="83"/>
      <c r="C50" s="8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4" t="s">
        <v>4</v>
      </c>
      <c r="B51" s="85"/>
      <c r="C51" s="8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6" t="s">
        <v>5</v>
      </c>
      <c r="B52" s="87"/>
      <c r="C52" s="8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12-22-24 - 3-4-25 (3 quarter)</vt:lpstr>
      <vt:lpstr>10-6-24 - 12-17-24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'10-6-24 - 12-17-24 (2 quarter)'!Print_Area</vt:lpstr>
      <vt:lpstr>'11-19-23 - 2-11-24 (1 quarter)'!Print_Area</vt:lpstr>
      <vt:lpstr>'12-21-22 - 1-18-23 (1 month)'!Print_Area</vt:lpstr>
      <vt:lpstr>'12-22-24 - 3-4-25 (3 quarter)'!Print_Area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2024-12-26T04:34:24Z</cp:lastPrinted>
  <dcterms:created xsi:type="dcterms:W3CDTF">2013-12-12T05:08:35Z</dcterms:created>
  <dcterms:modified xsi:type="dcterms:W3CDTF">2025-02-18T14:14:03Z</dcterms:modified>
</cp:coreProperties>
</file>